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threadedComments/threadedComment1.xml" ContentType="application/vnd.ms-excel.threaded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threadedComments/threadedComment2.xml" ContentType="application/vnd.ms-excel.threaded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threadedComments/threadedComment3.xml" ContentType="application/vnd.ms-excel.threaded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threadedComments/threadedComment4.xml" ContentType="application/vnd.ms-excel.threadedcomments+xml"/>
  <Override PartName="/xl/comments14.xml" ContentType="application/vnd.openxmlformats-officedocument.spreadsheetml.comments+xml"/>
  <Override PartName="/xl/threadedComments/threadedComment5.xml" ContentType="application/vnd.ms-excel.threaded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threadedComments/threadedComment6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O:\Town\Budget\2022\"/>
    </mc:Choice>
  </mc:AlternateContent>
  <xr:revisionPtr revIDLastSave="0" documentId="8_{C1ACF6B9-B3EB-40FD-B295-B2C518F7B5E9}" xr6:coauthVersionLast="47" xr6:coauthVersionMax="47" xr10:uidLastSave="{00000000-0000-0000-0000-000000000000}"/>
  <bookViews>
    <workbookView xWindow="-120" yWindow="-120" windowWidth="29040" windowHeight="17640" xr2:uid="{554E03BD-8B5F-41C2-926F-A059C1AEA863}"/>
  </bookViews>
  <sheets>
    <sheet name="SUMMARY-F" sheetId="1" r:id="rId1"/>
    <sheet name="GG -Admin" sheetId="2" r:id="rId2"/>
    <sheet name="Council" sheetId="3" r:id="rId3"/>
    <sheet name="Fire Dept" sheetId="4" r:id="rId4"/>
    <sheet name="Building Inspection" sheetId="5" r:id="rId5"/>
    <sheet name="Bylaw Enforcement" sheetId="6" r:id="rId6"/>
    <sheet name="Protective Services" sheetId="7" r:id="rId7"/>
    <sheet name="Recreation" sheetId="8" r:id="rId8"/>
    <sheet name="Rec Director" sheetId="9" r:id="rId9"/>
    <sheet name="Rec Centre" sheetId="10" r:id="rId10"/>
    <sheet name="Pool" sheetId="11" r:id="rId11"/>
    <sheet name="Parks, Campground, SG, etc" sheetId="12" r:id="rId12"/>
    <sheet name="Playground Program" sheetId="13" r:id="rId13"/>
    <sheet name="Culture" sheetId="14" r:id="rId14"/>
    <sheet name="Community Hall" sheetId="15" r:id="rId15"/>
    <sheet name="Theatre" sheetId="16" r:id="rId16"/>
    <sheet name="Museum" sheetId="17" r:id="rId17"/>
    <sheet name="Other Rec Services" sheetId="18" r:id="rId18"/>
    <sheet name="Cemetery" sheetId="19" r:id="rId19"/>
    <sheet name="Recycle &amp; Garbage" sheetId="20" r:id="rId20"/>
    <sheet name="PW Summary" sheetId="21" r:id="rId21"/>
    <sheet name="PW Admin" sheetId="22" r:id="rId22"/>
    <sheet name="Shop &amp; Yard Maint" sheetId="23" r:id="rId23"/>
    <sheet name="Street &amp; Storm Sewer" sheetId="24" r:id="rId24"/>
    <sheet name="Mowing" sheetId="25" r:id="rId25"/>
    <sheet name="Transportation" sheetId="26" r:id="rId26"/>
    <sheet name="Water" sheetId="27" r:id="rId27"/>
    <sheet name="Sewer" sheetId="28" r:id="rId28"/>
    <sheet name="Airport" sheetId="29" r:id="rId29"/>
    <sheet name="Ec Dev" sheetId="30" r:id="rId30"/>
    <sheet name="Land Dev" sheetId="31" r:id="rId31"/>
  </sheets>
  <externalReferences>
    <externalReference r:id="rId3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31" l="1"/>
  <c r="G23" i="31"/>
  <c r="H22" i="31"/>
  <c r="G22" i="31"/>
  <c r="F22" i="31"/>
  <c r="F23" i="31" s="1"/>
  <c r="E22" i="31"/>
  <c r="E23" i="31" s="1"/>
  <c r="D21" i="1" s="1"/>
  <c r="D22" i="31"/>
  <c r="D23" i="31" s="1"/>
  <c r="C22" i="31"/>
  <c r="C23" i="31" s="1"/>
  <c r="B22" i="31"/>
  <c r="H20" i="31"/>
  <c r="G20" i="31"/>
  <c r="D20" i="31"/>
  <c r="F19" i="31"/>
  <c r="F20" i="31" s="1"/>
  <c r="E19" i="31"/>
  <c r="E20" i="31" s="1"/>
  <c r="D19" i="31"/>
  <c r="C19" i="31"/>
  <c r="C20" i="31" s="1"/>
  <c r="B19" i="31"/>
  <c r="H16" i="31"/>
  <c r="H25" i="31" s="1"/>
  <c r="G16" i="31"/>
  <c r="G25" i="31" s="1"/>
  <c r="D16" i="31"/>
  <c r="F15" i="31"/>
  <c r="F16" i="31" s="1"/>
  <c r="F25" i="31" s="1"/>
  <c r="E15" i="31"/>
  <c r="D15" i="31"/>
  <c r="C15" i="31"/>
  <c r="B15" i="31"/>
  <c r="F14" i="31"/>
  <c r="E14" i="31"/>
  <c r="E16" i="31" s="1"/>
  <c r="D14" i="31"/>
  <c r="C14" i="31"/>
  <c r="C16" i="31" s="1"/>
  <c r="C25" i="31" s="1"/>
  <c r="B14" i="31"/>
  <c r="H8" i="31"/>
  <c r="G8" i="31"/>
  <c r="G10" i="31" s="1"/>
  <c r="E8" i="31"/>
  <c r="E10" i="31" s="1"/>
  <c r="D8" i="31"/>
  <c r="D10" i="31" s="1"/>
  <c r="F7" i="31"/>
  <c r="F8" i="31" s="1"/>
  <c r="F10" i="31" s="1"/>
  <c r="E7" i="31"/>
  <c r="D7" i="31"/>
  <c r="C7" i="31"/>
  <c r="C8" i="31" s="1"/>
  <c r="C10" i="31" s="1"/>
  <c r="C27" i="31" s="1"/>
  <c r="B7" i="31"/>
  <c r="H5" i="31"/>
  <c r="H10" i="31" s="1"/>
  <c r="G5" i="31"/>
  <c r="F5" i="31"/>
  <c r="E5" i="31"/>
  <c r="D5" i="31"/>
  <c r="C5" i="31"/>
  <c r="H21" i="30"/>
  <c r="G21" i="30"/>
  <c r="D21" i="30"/>
  <c r="C21" i="30"/>
  <c r="F20" i="30"/>
  <c r="F21" i="30" s="1"/>
  <c r="E20" i="30"/>
  <c r="E21" i="30" s="1"/>
  <c r="D20" i="30"/>
  <c r="C20" i="30"/>
  <c r="B20" i="30"/>
  <c r="H17" i="30"/>
  <c r="G17" i="30"/>
  <c r="D17" i="30"/>
  <c r="F16" i="30"/>
  <c r="F17" i="30" s="1"/>
  <c r="E16" i="30"/>
  <c r="E17" i="30" s="1"/>
  <c r="D16" i="30"/>
  <c r="C16" i="30"/>
  <c r="C17" i="30" s="1"/>
  <c r="B16" i="30"/>
  <c r="H13" i="30"/>
  <c r="H23" i="30" s="1"/>
  <c r="G13" i="30"/>
  <c r="G23" i="30" s="1"/>
  <c r="D13" i="30"/>
  <c r="D23" i="30" s="1"/>
  <c r="F12" i="30"/>
  <c r="F13" i="30" s="1"/>
  <c r="F23" i="30" s="1"/>
  <c r="E12" i="30"/>
  <c r="E13" i="30" s="1"/>
  <c r="E23" i="30" s="1"/>
  <c r="D12" i="30"/>
  <c r="C12" i="30"/>
  <c r="C13" i="30" s="1"/>
  <c r="C23" i="30" s="1"/>
  <c r="B12" i="30"/>
  <c r="G8" i="30"/>
  <c r="E8" i="30"/>
  <c r="H6" i="30"/>
  <c r="H8" i="30" s="1"/>
  <c r="H25" i="30" s="1"/>
  <c r="G6" i="30"/>
  <c r="E6" i="30"/>
  <c r="C6" i="30"/>
  <c r="C8" i="30" s="1"/>
  <c r="F5" i="30"/>
  <c r="F6" i="30" s="1"/>
  <c r="F8" i="30" s="1"/>
  <c r="F25" i="30" s="1"/>
  <c r="E5" i="30"/>
  <c r="D5" i="30"/>
  <c r="D6" i="30" s="1"/>
  <c r="D8" i="30" s="1"/>
  <c r="C5" i="30"/>
  <c r="B5" i="30"/>
  <c r="H34" i="29"/>
  <c r="G34" i="29"/>
  <c r="F34" i="29"/>
  <c r="E34" i="29"/>
  <c r="D34" i="29"/>
  <c r="C34" i="29"/>
  <c r="H30" i="29"/>
  <c r="G30" i="29"/>
  <c r="E30" i="29"/>
  <c r="F29" i="29"/>
  <c r="E29" i="29"/>
  <c r="D29" i="29"/>
  <c r="C29" i="29"/>
  <c r="B29" i="29"/>
  <c r="F28" i="29"/>
  <c r="F30" i="29" s="1"/>
  <c r="E28" i="29"/>
  <c r="D28" i="29"/>
  <c r="D30" i="29" s="1"/>
  <c r="C28" i="29"/>
  <c r="C30" i="29" s="1"/>
  <c r="B28" i="29"/>
  <c r="H25" i="29"/>
  <c r="H36" i="29" s="1"/>
  <c r="G25" i="29"/>
  <c r="E25" i="29"/>
  <c r="F24" i="29"/>
  <c r="F25" i="29" s="1"/>
  <c r="E24" i="29"/>
  <c r="D24" i="29"/>
  <c r="D25" i="29" s="1"/>
  <c r="D36" i="29" s="1"/>
  <c r="C24" i="29"/>
  <c r="C25" i="29" s="1"/>
  <c r="H21" i="29"/>
  <c r="G21" i="29"/>
  <c r="G36" i="29" s="1"/>
  <c r="D21" i="29"/>
  <c r="F20" i="29"/>
  <c r="F21" i="29" s="1"/>
  <c r="E20" i="29"/>
  <c r="E21" i="29" s="1"/>
  <c r="E36" i="29" s="1"/>
  <c r="D20" i="29"/>
  <c r="C20" i="29"/>
  <c r="C21" i="29" s="1"/>
  <c r="B20" i="29"/>
  <c r="E16" i="29"/>
  <c r="H14" i="29"/>
  <c r="G14" i="29"/>
  <c r="F14" i="29"/>
  <c r="E14" i="29"/>
  <c r="D14" i="29"/>
  <c r="H10" i="29"/>
  <c r="H16" i="29" s="1"/>
  <c r="G10" i="29"/>
  <c r="G16" i="29" s="1"/>
  <c r="E10" i="29"/>
  <c r="F9" i="29"/>
  <c r="F10" i="29" s="1"/>
  <c r="F16" i="29" s="1"/>
  <c r="E9" i="29"/>
  <c r="D9" i="29"/>
  <c r="D10" i="29" s="1"/>
  <c r="D16" i="29" s="1"/>
  <c r="C9" i="29"/>
  <c r="C10" i="29" s="1"/>
  <c r="C16" i="29" s="1"/>
  <c r="B9" i="29"/>
  <c r="H6" i="29"/>
  <c r="G6" i="29"/>
  <c r="F6" i="29"/>
  <c r="E6" i="29"/>
  <c r="D6" i="29"/>
  <c r="C6" i="29"/>
  <c r="F56" i="28"/>
  <c r="E56" i="28"/>
  <c r="D56" i="28"/>
  <c r="C56" i="28"/>
  <c r="B56" i="28"/>
  <c r="H55" i="28"/>
  <c r="F55" i="28"/>
  <c r="E55" i="28"/>
  <c r="D55" i="28"/>
  <c r="C55" i="28"/>
  <c r="B55" i="28"/>
  <c r="F54" i="28"/>
  <c r="E54" i="28"/>
  <c r="D54" i="28"/>
  <c r="C54" i="28"/>
  <c r="B54" i="28"/>
  <c r="G51" i="28"/>
  <c r="F51" i="28"/>
  <c r="E51" i="28"/>
  <c r="H50" i="28"/>
  <c r="H51" i="28" s="1"/>
  <c r="F50" i="28"/>
  <c r="E50" i="28"/>
  <c r="D50" i="28"/>
  <c r="D51" i="28" s="1"/>
  <c r="C50" i="28"/>
  <c r="C51" i="28" s="1"/>
  <c r="B50" i="28"/>
  <c r="H47" i="28"/>
  <c r="G47" i="28"/>
  <c r="F47" i="28"/>
  <c r="C47" i="28"/>
  <c r="F46" i="28"/>
  <c r="E46" i="28"/>
  <c r="E47" i="28" s="1"/>
  <c r="D46" i="28"/>
  <c r="D47" i="28" s="1"/>
  <c r="C46" i="28"/>
  <c r="B46" i="28"/>
  <c r="H43" i="28"/>
  <c r="G43" i="28"/>
  <c r="F42" i="28"/>
  <c r="E42" i="28"/>
  <c r="D42" i="28"/>
  <c r="C42" i="28"/>
  <c r="B42" i="28"/>
  <c r="F41" i="28"/>
  <c r="E41" i="28"/>
  <c r="D41" i="28"/>
  <c r="C41" i="28"/>
  <c r="B41" i="28"/>
  <c r="F40" i="28"/>
  <c r="E40" i="28"/>
  <c r="D40" i="28"/>
  <c r="C40" i="28"/>
  <c r="B40" i="28"/>
  <c r="F39" i="28"/>
  <c r="E39" i="28"/>
  <c r="D39" i="28"/>
  <c r="C39" i="28"/>
  <c r="B39" i="28"/>
  <c r="F38" i="28"/>
  <c r="E38" i="28"/>
  <c r="D38" i="28"/>
  <c r="D43" i="28" s="1"/>
  <c r="C38" i="28"/>
  <c r="B38" i="28"/>
  <c r="F37" i="28"/>
  <c r="F43" i="28" s="1"/>
  <c r="E37" i="28"/>
  <c r="E43" i="28" s="1"/>
  <c r="D37" i="28"/>
  <c r="C37" i="28"/>
  <c r="C43" i="28" s="1"/>
  <c r="B37" i="28"/>
  <c r="H34" i="28"/>
  <c r="G34" i="28"/>
  <c r="F33" i="28"/>
  <c r="E33" i="28"/>
  <c r="D33" i="28"/>
  <c r="C33" i="28"/>
  <c r="B33" i="28"/>
  <c r="F32" i="28"/>
  <c r="E32" i="28"/>
  <c r="D32" i="28"/>
  <c r="C32" i="28"/>
  <c r="B32" i="28"/>
  <c r="F31" i="28"/>
  <c r="F34" i="28" s="1"/>
  <c r="E31" i="28"/>
  <c r="E34" i="28" s="1"/>
  <c r="D31" i="28"/>
  <c r="D34" i="28" s="1"/>
  <c r="C31" i="28"/>
  <c r="C34" i="28" s="1"/>
  <c r="B31" i="28"/>
  <c r="G28" i="28"/>
  <c r="E28" i="28"/>
  <c r="H27" i="28"/>
  <c r="H28" i="28" s="1"/>
  <c r="G11" i="21" s="1"/>
  <c r="F27" i="28"/>
  <c r="F28" i="28" s="1"/>
  <c r="E11" i="21" s="1"/>
  <c r="E27" i="28"/>
  <c r="D27" i="28"/>
  <c r="D28" i="28" s="1"/>
  <c r="C27" i="28"/>
  <c r="C28" i="28" s="1"/>
  <c r="B27" i="28"/>
  <c r="G24" i="28"/>
  <c r="G58" i="28" s="1"/>
  <c r="H23" i="28"/>
  <c r="F23" i="28"/>
  <c r="E23" i="28"/>
  <c r="D23" i="28"/>
  <c r="C23" i="28"/>
  <c r="B23" i="28"/>
  <c r="F22" i="28"/>
  <c r="E22" i="28"/>
  <c r="D22" i="28"/>
  <c r="C22" i="28"/>
  <c r="B22" i="28"/>
  <c r="H21" i="28"/>
  <c r="F21" i="28"/>
  <c r="E21" i="28"/>
  <c r="E24" i="28" s="1"/>
  <c r="D21" i="28"/>
  <c r="C21" i="28"/>
  <c r="C24" i="28" s="1"/>
  <c r="C58" i="28" s="1"/>
  <c r="B21" i="28"/>
  <c r="H20" i="28"/>
  <c r="F20" i="28"/>
  <c r="E20" i="28"/>
  <c r="D20" i="28"/>
  <c r="C20" i="28"/>
  <c r="B20" i="28"/>
  <c r="H19" i="28"/>
  <c r="H24" i="28" s="1"/>
  <c r="F19" i="28"/>
  <c r="E19" i="28"/>
  <c r="D19" i="28"/>
  <c r="C19" i="28"/>
  <c r="B19" i="28"/>
  <c r="F18" i="28"/>
  <c r="F24" i="28" s="1"/>
  <c r="E18" i="28"/>
  <c r="D18" i="28"/>
  <c r="D24" i="28" s="1"/>
  <c r="C18" i="28"/>
  <c r="B18" i="28"/>
  <c r="C14" i="28"/>
  <c r="H12" i="28"/>
  <c r="G12" i="28"/>
  <c r="C12" i="28"/>
  <c r="F11" i="28"/>
  <c r="E11" i="28"/>
  <c r="D11" i="28"/>
  <c r="C11" i="28"/>
  <c r="B11" i="28"/>
  <c r="F10" i="28"/>
  <c r="E10" i="28"/>
  <c r="D10" i="28"/>
  <c r="D12" i="28" s="1"/>
  <c r="C10" i="28"/>
  <c r="B10" i="28"/>
  <c r="F9" i="28"/>
  <c r="F12" i="28" s="1"/>
  <c r="E9" i="28"/>
  <c r="D9" i="28"/>
  <c r="C9" i="28"/>
  <c r="B9" i="28"/>
  <c r="H6" i="28"/>
  <c r="H14" i="28" s="1"/>
  <c r="G6" i="28"/>
  <c r="G14" i="28" s="1"/>
  <c r="G60" i="28" s="1"/>
  <c r="F6" i="28"/>
  <c r="F14" i="28" s="1"/>
  <c r="D6" i="28"/>
  <c r="H5" i="28"/>
  <c r="F5" i="28"/>
  <c r="E5" i="28"/>
  <c r="E6" i="28" s="1"/>
  <c r="D5" i="28"/>
  <c r="C5" i="28"/>
  <c r="C6" i="28" s="1"/>
  <c r="B5" i="28"/>
  <c r="H67" i="27"/>
  <c r="G67" i="27"/>
  <c r="F67" i="27"/>
  <c r="F66" i="27"/>
  <c r="E66" i="27"/>
  <c r="D66" i="27"/>
  <c r="D67" i="27" s="1"/>
  <c r="C66" i="27"/>
  <c r="C67" i="27" s="1"/>
  <c r="B66" i="27"/>
  <c r="F65" i="27"/>
  <c r="E65" i="27"/>
  <c r="E67" i="27" s="1"/>
  <c r="D65" i="27"/>
  <c r="C65" i="27"/>
  <c r="B65" i="27"/>
  <c r="H63" i="27"/>
  <c r="G63" i="27"/>
  <c r="F63" i="27"/>
  <c r="F62" i="27"/>
  <c r="E62" i="27"/>
  <c r="E63" i="27" s="1"/>
  <c r="D62" i="27"/>
  <c r="D63" i="27" s="1"/>
  <c r="C62" i="27"/>
  <c r="C63" i="27" s="1"/>
  <c r="B62" i="27"/>
  <c r="H58" i="27"/>
  <c r="G58" i="27"/>
  <c r="D58" i="27"/>
  <c r="C58" i="27"/>
  <c r="F57" i="27"/>
  <c r="F58" i="27" s="1"/>
  <c r="E57" i="27"/>
  <c r="E58" i="27" s="1"/>
  <c r="D57" i="27"/>
  <c r="C57" i="27"/>
  <c r="B57" i="27"/>
  <c r="H54" i="27"/>
  <c r="G54" i="27"/>
  <c r="F53" i="27"/>
  <c r="E53" i="27"/>
  <c r="D53" i="27"/>
  <c r="C53" i="27"/>
  <c r="B53" i="27"/>
  <c r="F52" i="27"/>
  <c r="E52" i="27"/>
  <c r="D52" i="27"/>
  <c r="C52" i="27"/>
  <c r="B52" i="27"/>
  <c r="F51" i="27"/>
  <c r="E51" i="27"/>
  <c r="D51" i="27"/>
  <c r="C51" i="27"/>
  <c r="B51" i="27"/>
  <c r="F50" i="27"/>
  <c r="E50" i="27"/>
  <c r="D50" i="27"/>
  <c r="C50" i="27"/>
  <c r="B50" i="27"/>
  <c r="F49" i="27"/>
  <c r="E49" i="27"/>
  <c r="D49" i="27"/>
  <c r="C49" i="27"/>
  <c r="B49" i="27"/>
  <c r="F48" i="27"/>
  <c r="E48" i="27"/>
  <c r="D48" i="27"/>
  <c r="C48" i="27"/>
  <c r="B48" i="27"/>
  <c r="F47" i="27"/>
  <c r="E47" i="27"/>
  <c r="D47" i="27"/>
  <c r="C47" i="27"/>
  <c r="B47" i="27"/>
  <c r="F46" i="27"/>
  <c r="E46" i="27"/>
  <c r="E54" i="27" s="1"/>
  <c r="D46" i="27"/>
  <c r="C46" i="27"/>
  <c r="B46" i="27"/>
  <c r="F45" i="27"/>
  <c r="E45" i="27"/>
  <c r="D45" i="27"/>
  <c r="C45" i="27"/>
  <c r="B45" i="27"/>
  <c r="H42" i="27"/>
  <c r="G42" i="27"/>
  <c r="F41" i="27"/>
  <c r="E41" i="27"/>
  <c r="D41" i="27"/>
  <c r="C41" i="27"/>
  <c r="B41" i="27"/>
  <c r="F40" i="27"/>
  <c r="F42" i="27" s="1"/>
  <c r="E40" i="27"/>
  <c r="D40" i="27"/>
  <c r="C40" i="27"/>
  <c r="B40" i="27"/>
  <c r="F39" i="27"/>
  <c r="E39" i="27"/>
  <c r="D39" i="27"/>
  <c r="D42" i="27" s="1"/>
  <c r="C39" i="27"/>
  <c r="C42" i="27" s="1"/>
  <c r="B39" i="27"/>
  <c r="H36" i="27"/>
  <c r="G36" i="27"/>
  <c r="F36" i="27"/>
  <c r="D36" i="27"/>
  <c r="F35" i="27"/>
  <c r="E35" i="27"/>
  <c r="D35" i="27"/>
  <c r="C35" i="27"/>
  <c r="B35" i="27"/>
  <c r="F34" i="27"/>
  <c r="E34" i="27"/>
  <c r="E36" i="27" s="1"/>
  <c r="D34" i="27"/>
  <c r="C34" i="27"/>
  <c r="C36" i="27" s="1"/>
  <c r="B34" i="27"/>
  <c r="G31" i="27"/>
  <c r="G69" i="27" s="1"/>
  <c r="H30" i="27"/>
  <c r="F30" i="27"/>
  <c r="E30" i="27"/>
  <c r="D30" i="27"/>
  <c r="C30" i="27"/>
  <c r="B30" i="27"/>
  <c r="F29" i="27"/>
  <c r="E29" i="27"/>
  <c r="D29" i="27"/>
  <c r="C29" i="27"/>
  <c r="B29" i="27"/>
  <c r="H28" i="27"/>
  <c r="F28" i="27"/>
  <c r="F31" i="27" s="1"/>
  <c r="E28" i="27"/>
  <c r="D28" i="27"/>
  <c r="C28" i="27"/>
  <c r="B28" i="27"/>
  <c r="H27" i="27"/>
  <c r="F27" i="27"/>
  <c r="E27" i="27"/>
  <c r="D27" i="27"/>
  <c r="D31" i="27" s="1"/>
  <c r="C27" i="27"/>
  <c r="B27" i="27"/>
  <c r="H26" i="27"/>
  <c r="H31" i="27" s="1"/>
  <c r="F26" i="27"/>
  <c r="E26" i="27"/>
  <c r="D26" i="27"/>
  <c r="C26" i="27"/>
  <c r="B26" i="27"/>
  <c r="F25" i="27"/>
  <c r="E25" i="27"/>
  <c r="E31" i="27" s="1"/>
  <c r="D25" i="27"/>
  <c r="C25" i="27"/>
  <c r="B25" i="27"/>
  <c r="C19" i="27"/>
  <c r="B6" i="21" s="1"/>
  <c r="F18" i="27"/>
  <c r="F19" i="27" s="1"/>
  <c r="E6" i="21" s="1"/>
  <c r="E18" i="27"/>
  <c r="E19" i="27" s="1"/>
  <c r="D18" i="27"/>
  <c r="D19" i="27" s="1"/>
  <c r="C18" i="27"/>
  <c r="B18" i="27"/>
  <c r="H15" i="27"/>
  <c r="G15" i="27"/>
  <c r="F15" i="27"/>
  <c r="F14" i="27"/>
  <c r="E14" i="27"/>
  <c r="D14" i="27"/>
  <c r="C14" i="27"/>
  <c r="B14" i="27"/>
  <c r="F13" i="27"/>
  <c r="E13" i="27"/>
  <c r="D13" i="27"/>
  <c r="C13" i="27"/>
  <c r="B13" i="27"/>
  <c r="F12" i="27"/>
  <c r="E12" i="27"/>
  <c r="D12" i="27"/>
  <c r="C12" i="27"/>
  <c r="B12" i="27"/>
  <c r="F11" i="27"/>
  <c r="E11" i="27"/>
  <c r="D11" i="27"/>
  <c r="C11" i="27"/>
  <c r="B11" i="27"/>
  <c r="F10" i="27"/>
  <c r="E10" i="27"/>
  <c r="E15" i="27" s="1"/>
  <c r="D10" i="27"/>
  <c r="C10" i="27"/>
  <c r="B10" i="27"/>
  <c r="F9" i="27"/>
  <c r="E9" i="27"/>
  <c r="D9" i="27"/>
  <c r="C9" i="27"/>
  <c r="C15" i="27" s="1"/>
  <c r="B9" i="27"/>
  <c r="H6" i="27"/>
  <c r="H21" i="27" s="1"/>
  <c r="G6" i="27"/>
  <c r="G21" i="27" s="1"/>
  <c r="G71" i="27" s="1"/>
  <c r="F5" i="27"/>
  <c r="F6" i="27" s="1"/>
  <c r="E5" i="27"/>
  <c r="E6" i="27" s="1"/>
  <c r="D5" i="27"/>
  <c r="D6" i="27" s="1"/>
  <c r="C5" i="27"/>
  <c r="C6" i="27" s="1"/>
  <c r="B5" i="27"/>
  <c r="H39" i="26"/>
  <c r="G39" i="26"/>
  <c r="D39" i="26"/>
  <c r="H38" i="26"/>
  <c r="F38" i="26"/>
  <c r="F39" i="26" s="1"/>
  <c r="E38" i="26"/>
  <c r="E39" i="26" s="1"/>
  <c r="D38" i="26"/>
  <c r="C38" i="26"/>
  <c r="B38" i="26"/>
  <c r="F37" i="26"/>
  <c r="E37" i="26"/>
  <c r="D37" i="26"/>
  <c r="C37" i="26"/>
  <c r="B37" i="26"/>
  <c r="H34" i="26"/>
  <c r="G34" i="26"/>
  <c r="F33" i="26"/>
  <c r="F34" i="26" s="1"/>
  <c r="E33" i="26"/>
  <c r="D33" i="26"/>
  <c r="D34" i="26" s="1"/>
  <c r="C33" i="26"/>
  <c r="C34" i="26" s="1"/>
  <c r="B33" i="26"/>
  <c r="G30" i="26"/>
  <c r="F29" i="26"/>
  <c r="E29" i="26"/>
  <c r="D29" i="26"/>
  <c r="C29" i="26"/>
  <c r="B29" i="26"/>
  <c r="H28" i="26"/>
  <c r="H30" i="26" s="1"/>
  <c r="H41" i="26" s="1"/>
  <c r="F28" i="26"/>
  <c r="E28" i="26"/>
  <c r="D28" i="26"/>
  <c r="C28" i="26"/>
  <c r="B28" i="26"/>
  <c r="F27" i="26"/>
  <c r="E27" i="26"/>
  <c r="D27" i="26"/>
  <c r="D30" i="26" s="1"/>
  <c r="C27" i="26"/>
  <c r="B27" i="26"/>
  <c r="F26" i="26"/>
  <c r="E26" i="26"/>
  <c r="D26" i="26"/>
  <c r="C26" i="26"/>
  <c r="B26" i="26"/>
  <c r="F25" i="26"/>
  <c r="F30" i="26" s="1"/>
  <c r="E25" i="26"/>
  <c r="E30" i="26" s="1"/>
  <c r="D25" i="26"/>
  <c r="C25" i="26"/>
  <c r="C30" i="26" s="1"/>
  <c r="B25" i="26"/>
  <c r="H22" i="26"/>
  <c r="G22" i="26"/>
  <c r="E22" i="26"/>
  <c r="D22" i="26"/>
  <c r="C22" i="26"/>
  <c r="F21" i="26"/>
  <c r="F22" i="26" s="1"/>
  <c r="E21" i="26"/>
  <c r="D21" i="26"/>
  <c r="C21" i="26"/>
  <c r="B21" i="26"/>
  <c r="H18" i="26"/>
  <c r="G18" i="26"/>
  <c r="G41" i="26" s="1"/>
  <c r="E18" i="26"/>
  <c r="F17" i="26"/>
  <c r="E17" i="26"/>
  <c r="D17" i="26"/>
  <c r="C17" i="26"/>
  <c r="C18" i="26" s="1"/>
  <c r="B17" i="26"/>
  <c r="F16" i="26"/>
  <c r="F18" i="26" s="1"/>
  <c r="E16" i="26"/>
  <c r="D16" i="26"/>
  <c r="D18" i="26" s="1"/>
  <c r="C16" i="26"/>
  <c r="B16" i="26"/>
  <c r="G12" i="26"/>
  <c r="G42" i="26" s="1"/>
  <c r="H10" i="26"/>
  <c r="G10" i="26"/>
  <c r="F10" i="26"/>
  <c r="E10" i="26"/>
  <c r="D10" i="26"/>
  <c r="C10" i="26"/>
  <c r="F9" i="26"/>
  <c r="E9" i="26"/>
  <c r="D9" i="26"/>
  <c r="C9" i="26"/>
  <c r="B9" i="26"/>
  <c r="H6" i="26"/>
  <c r="H12" i="26" s="1"/>
  <c r="H42" i="26" s="1"/>
  <c r="G6" i="26"/>
  <c r="F6" i="26"/>
  <c r="F12" i="26" s="1"/>
  <c r="F5" i="26"/>
  <c r="E5" i="26"/>
  <c r="E6" i="26" s="1"/>
  <c r="E12" i="26" s="1"/>
  <c r="D5" i="26"/>
  <c r="D6" i="26" s="1"/>
  <c r="D12" i="26" s="1"/>
  <c r="C5" i="26"/>
  <c r="C6" i="26" s="1"/>
  <c r="C12" i="26" s="1"/>
  <c r="B5" i="26"/>
  <c r="H23" i="25"/>
  <c r="G13" i="21" s="1"/>
  <c r="G23" i="25"/>
  <c r="F13" i="21" s="1"/>
  <c r="E23" i="25"/>
  <c r="F22" i="25"/>
  <c r="E22" i="25"/>
  <c r="D22" i="25"/>
  <c r="C22" i="25"/>
  <c r="C23" i="25" s="1"/>
  <c r="B22" i="25"/>
  <c r="F21" i="25"/>
  <c r="F23" i="25" s="1"/>
  <c r="E21" i="25"/>
  <c r="D21" i="25"/>
  <c r="C21" i="25"/>
  <c r="B21" i="25"/>
  <c r="H18" i="25"/>
  <c r="G18" i="25"/>
  <c r="F11" i="21" s="1"/>
  <c r="F18" i="25"/>
  <c r="E18" i="25"/>
  <c r="F17" i="25"/>
  <c r="E17" i="25"/>
  <c r="D17" i="25"/>
  <c r="D18" i="25" s="1"/>
  <c r="C17" i="25"/>
  <c r="C18" i="25" s="1"/>
  <c r="B17" i="25"/>
  <c r="G14" i="25"/>
  <c r="C14" i="25"/>
  <c r="C25" i="25" s="1"/>
  <c r="H13" i="25"/>
  <c r="H14" i="25" s="1"/>
  <c r="H25" i="25" s="1"/>
  <c r="F13" i="25"/>
  <c r="E13" i="25"/>
  <c r="D13" i="25"/>
  <c r="C13" i="25"/>
  <c r="B13" i="25"/>
  <c r="H12" i="25"/>
  <c r="F12" i="25"/>
  <c r="F14" i="25" s="1"/>
  <c r="E12" i="25"/>
  <c r="E14" i="25" s="1"/>
  <c r="E25" i="25" s="1"/>
  <c r="D12" i="25"/>
  <c r="D14" i="25" s="1"/>
  <c r="C12" i="25"/>
  <c r="B12" i="25"/>
  <c r="D8" i="25"/>
  <c r="H6" i="25"/>
  <c r="H8" i="25" s="1"/>
  <c r="G6" i="25"/>
  <c r="G8" i="25" s="1"/>
  <c r="C6" i="25"/>
  <c r="C8" i="25" s="1"/>
  <c r="C27" i="25" s="1"/>
  <c r="F5" i="25"/>
  <c r="F6" i="25" s="1"/>
  <c r="F8" i="25" s="1"/>
  <c r="E5" i="25"/>
  <c r="E6" i="25" s="1"/>
  <c r="E8" i="25" s="1"/>
  <c r="E27" i="25" s="1"/>
  <c r="D5" i="25"/>
  <c r="D6" i="25" s="1"/>
  <c r="C5" i="25"/>
  <c r="B5" i="25"/>
  <c r="G40" i="24"/>
  <c r="H39" i="24"/>
  <c r="H40" i="24" s="1"/>
  <c r="F39" i="24"/>
  <c r="F40" i="24" s="1"/>
  <c r="E39" i="24"/>
  <c r="D39" i="24"/>
  <c r="C39" i="24"/>
  <c r="B39" i="24"/>
  <c r="H38" i="24"/>
  <c r="F38" i="24"/>
  <c r="E38" i="24"/>
  <c r="E40" i="24" s="1"/>
  <c r="D38" i="24"/>
  <c r="C38" i="24"/>
  <c r="C40" i="24" s="1"/>
  <c r="B38" i="24"/>
  <c r="H34" i="24"/>
  <c r="G34" i="24"/>
  <c r="D34" i="24"/>
  <c r="C34" i="24"/>
  <c r="F33" i="24"/>
  <c r="F34" i="24" s="1"/>
  <c r="E33" i="24"/>
  <c r="D33" i="24"/>
  <c r="C33" i="24"/>
  <c r="B14" i="21" s="1"/>
  <c r="B33" i="24"/>
  <c r="H30" i="24"/>
  <c r="G30" i="24"/>
  <c r="D30" i="24"/>
  <c r="F29" i="24"/>
  <c r="F30" i="24" s="1"/>
  <c r="E29" i="24"/>
  <c r="D29" i="24"/>
  <c r="C29" i="24"/>
  <c r="B29" i="24"/>
  <c r="F28" i="24"/>
  <c r="E28" i="24"/>
  <c r="D28" i="24"/>
  <c r="C28" i="24"/>
  <c r="B28" i="24"/>
  <c r="F27" i="24"/>
  <c r="E27" i="24"/>
  <c r="D27" i="24"/>
  <c r="C27" i="24"/>
  <c r="B27" i="24"/>
  <c r="F26" i="24"/>
  <c r="E26" i="24"/>
  <c r="D26" i="24"/>
  <c r="C26" i="24"/>
  <c r="B26" i="24"/>
  <c r="F25" i="24"/>
  <c r="E25" i="24"/>
  <c r="D25" i="24"/>
  <c r="C25" i="24"/>
  <c r="B25" i="24"/>
  <c r="H22" i="24"/>
  <c r="G22" i="24"/>
  <c r="F22" i="24"/>
  <c r="D22" i="24"/>
  <c r="C22" i="24"/>
  <c r="F21" i="24"/>
  <c r="E21" i="24"/>
  <c r="E22" i="24" s="1"/>
  <c r="D21" i="24"/>
  <c r="C21" i="24"/>
  <c r="B21" i="24"/>
  <c r="H18" i="24"/>
  <c r="G18" i="24"/>
  <c r="F18" i="24"/>
  <c r="F17" i="24"/>
  <c r="E17" i="24"/>
  <c r="E18" i="24" s="1"/>
  <c r="D17" i="24"/>
  <c r="D18" i="24" s="1"/>
  <c r="C11" i="21" s="1"/>
  <c r="C17" i="24"/>
  <c r="C18" i="24" s="1"/>
  <c r="B17" i="24"/>
  <c r="H14" i="24"/>
  <c r="H42" i="24" s="1"/>
  <c r="G14" i="24"/>
  <c r="C14" i="24"/>
  <c r="F13" i="24"/>
  <c r="F14" i="24" s="1"/>
  <c r="E13" i="24"/>
  <c r="D13" i="24"/>
  <c r="C13" i="24"/>
  <c r="B13" i="24"/>
  <c r="F12" i="24"/>
  <c r="E12" i="24"/>
  <c r="D12" i="24"/>
  <c r="D14" i="24" s="1"/>
  <c r="C12" i="24"/>
  <c r="B12" i="24"/>
  <c r="G8" i="24"/>
  <c r="C8" i="24"/>
  <c r="G6" i="24"/>
  <c r="E6" i="24"/>
  <c r="E8" i="24" s="1"/>
  <c r="H5" i="24"/>
  <c r="H6" i="24" s="1"/>
  <c r="H8" i="24" s="1"/>
  <c r="H44" i="24" s="1"/>
  <c r="F5" i="24"/>
  <c r="F6" i="24" s="1"/>
  <c r="F8" i="24" s="1"/>
  <c r="E5" i="24"/>
  <c r="D5" i="24"/>
  <c r="D6" i="24" s="1"/>
  <c r="C5" i="24"/>
  <c r="C6" i="24" s="1"/>
  <c r="B5" i="24"/>
  <c r="D17" i="23"/>
  <c r="F16" i="23"/>
  <c r="E16" i="23"/>
  <c r="D16" i="23"/>
  <c r="C16" i="23"/>
  <c r="B16" i="23"/>
  <c r="F15" i="23"/>
  <c r="E15" i="23"/>
  <c r="D18" i="21" s="1"/>
  <c r="D15" i="23"/>
  <c r="C18" i="21" s="1"/>
  <c r="C15" i="23"/>
  <c r="B15" i="23"/>
  <c r="H14" i="23"/>
  <c r="F14" i="23"/>
  <c r="E14" i="23"/>
  <c r="D14" i="23"/>
  <c r="C14" i="23"/>
  <c r="B14" i="23"/>
  <c r="H11" i="23"/>
  <c r="H17" i="23" s="1"/>
  <c r="G11" i="23"/>
  <c r="G17" i="23" s="1"/>
  <c r="F10" i="23"/>
  <c r="E10" i="23"/>
  <c r="E11" i="23" s="1"/>
  <c r="D10" i="23"/>
  <c r="D11" i="23" s="1"/>
  <c r="C10" i="23"/>
  <c r="B10" i="23"/>
  <c r="F9" i="23"/>
  <c r="E9" i="23"/>
  <c r="D9" i="23"/>
  <c r="C9" i="23"/>
  <c r="B9" i="23"/>
  <c r="G5" i="23"/>
  <c r="E5" i="23"/>
  <c r="H4" i="23"/>
  <c r="H5" i="23" s="1"/>
  <c r="H19" i="23" s="1"/>
  <c r="F4" i="23"/>
  <c r="F5" i="23" s="1"/>
  <c r="E4" i="23"/>
  <c r="D4" i="23"/>
  <c r="D5" i="23" s="1"/>
  <c r="C4" i="23"/>
  <c r="C5" i="23" s="1"/>
  <c r="B4" i="23"/>
  <c r="F46" i="22"/>
  <c r="E46" i="22"/>
  <c r="D19" i="21" s="1"/>
  <c r="D46" i="22"/>
  <c r="C46" i="22"/>
  <c r="B19" i="21" s="1"/>
  <c r="B21" i="1" s="1"/>
  <c r="B46" i="22"/>
  <c r="H44" i="22"/>
  <c r="G44" i="22"/>
  <c r="F16" i="21" s="1"/>
  <c r="F44" i="22"/>
  <c r="E16" i="21" s="1"/>
  <c r="E44" i="22"/>
  <c r="D44" i="22"/>
  <c r="F43" i="22"/>
  <c r="E43" i="22"/>
  <c r="D43" i="22"/>
  <c r="C43" i="22"/>
  <c r="C44" i="22" s="1"/>
  <c r="B43" i="22"/>
  <c r="H40" i="22"/>
  <c r="G40" i="22"/>
  <c r="F39" i="22"/>
  <c r="E39" i="22"/>
  <c r="E40" i="22" s="1"/>
  <c r="D39" i="22"/>
  <c r="C39" i="22"/>
  <c r="B39" i="22"/>
  <c r="F38" i="22"/>
  <c r="E38" i="22"/>
  <c r="D38" i="22"/>
  <c r="C38" i="22"/>
  <c r="B38" i="22"/>
  <c r="F37" i="22"/>
  <c r="E37" i="22"/>
  <c r="D37" i="22"/>
  <c r="C37" i="22"/>
  <c r="B37" i="22"/>
  <c r="F36" i="22"/>
  <c r="E36" i="22"/>
  <c r="D36" i="22"/>
  <c r="C36" i="22"/>
  <c r="B36" i="22"/>
  <c r="F35" i="22"/>
  <c r="E35" i="22"/>
  <c r="D35" i="22"/>
  <c r="C35" i="22"/>
  <c r="B35" i="22"/>
  <c r="F34" i="22"/>
  <c r="F40" i="22" s="1"/>
  <c r="E34" i="22"/>
  <c r="D34" i="22"/>
  <c r="C34" i="22"/>
  <c r="B34" i="22"/>
  <c r="F33" i="22"/>
  <c r="E33" i="22"/>
  <c r="D33" i="22"/>
  <c r="C33" i="22"/>
  <c r="C40" i="22" s="1"/>
  <c r="B33" i="22"/>
  <c r="H30" i="22"/>
  <c r="G30" i="22"/>
  <c r="F12" i="21" s="1"/>
  <c r="F29" i="22"/>
  <c r="E29" i="22"/>
  <c r="D29" i="22"/>
  <c r="C29" i="22"/>
  <c r="B29" i="22"/>
  <c r="F28" i="22"/>
  <c r="E28" i="22"/>
  <c r="D28" i="22"/>
  <c r="C28" i="22"/>
  <c r="C30" i="22" s="1"/>
  <c r="B28" i="22"/>
  <c r="F27" i="22"/>
  <c r="F30" i="22" s="1"/>
  <c r="E27" i="22"/>
  <c r="E30" i="22" s="1"/>
  <c r="D27" i="22"/>
  <c r="C27" i="22"/>
  <c r="B27" i="22"/>
  <c r="G24" i="22"/>
  <c r="G48" i="22" s="1"/>
  <c r="C24" i="22"/>
  <c r="F23" i="22"/>
  <c r="E23" i="22"/>
  <c r="D23" i="22"/>
  <c r="C23" i="22"/>
  <c r="B23" i="22"/>
  <c r="F22" i="22"/>
  <c r="E22" i="22"/>
  <c r="D22" i="22"/>
  <c r="C22" i="22"/>
  <c r="B22" i="22"/>
  <c r="H21" i="22"/>
  <c r="F21" i="22"/>
  <c r="E21" i="22"/>
  <c r="D21" i="22"/>
  <c r="C21" i="22"/>
  <c r="B21" i="22"/>
  <c r="F20" i="22"/>
  <c r="E20" i="22"/>
  <c r="D20" i="22"/>
  <c r="C20" i="22"/>
  <c r="B20" i="22"/>
  <c r="H19" i="22"/>
  <c r="F19" i="22"/>
  <c r="E19" i="22"/>
  <c r="D19" i="22"/>
  <c r="D24" i="22" s="1"/>
  <c r="C19" i="22"/>
  <c r="B19" i="22"/>
  <c r="H18" i="22"/>
  <c r="F18" i="22"/>
  <c r="E18" i="22"/>
  <c r="E24" i="22" s="1"/>
  <c r="D18" i="22"/>
  <c r="C18" i="22"/>
  <c r="B18" i="22"/>
  <c r="H14" i="22"/>
  <c r="D14" i="22"/>
  <c r="H12" i="22"/>
  <c r="G12" i="22"/>
  <c r="F5" i="21" s="1"/>
  <c r="F12" i="22"/>
  <c r="E5" i="21" s="1"/>
  <c r="D12" i="22"/>
  <c r="F11" i="22"/>
  <c r="E11" i="22"/>
  <c r="D11" i="22"/>
  <c r="C11" i="22"/>
  <c r="B11" i="22"/>
  <c r="F10" i="22"/>
  <c r="E10" i="22"/>
  <c r="E12" i="22" s="1"/>
  <c r="D10" i="22"/>
  <c r="C10" i="22"/>
  <c r="B10" i="22"/>
  <c r="F9" i="22"/>
  <c r="E9" i="22"/>
  <c r="D9" i="22"/>
  <c r="C9" i="22"/>
  <c r="C12" i="22" s="1"/>
  <c r="B5" i="21" s="1"/>
  <c r="B9" i="22"/>
  <c r="H6" i="22"/>
  <c r="G6" i="22"/>
  <c r="F4" i="21" s="1"/>
  <c r="F7" i="21" s="1"/>
  <c r="D6" i="22"/>
  <c r="F5" i="22"/>
  <c r="F6" i="22" s="1"/>
  <c r="E5" i="22"/>
  <c r="E6" i="22" s="1"/>
  <c r="D5" i="22"/>
  <c r="C5" i="22"/>
  <c r="C6" i="22" s="1"/>
  <c r="B5" i="22"/>
  <c r="G19" i="21"/>
  <c r="F19" i="21"/>
  <c r="E19" i="21"/>
  <c r="G18" i="21"/>
  <c r="F18" i="21"/>
  <c r="E18" i="21"/>
  <c r="G17" i="21"/>
  <c r="F17" i="21"/>
  <c r="E17" i="21"/>
  <c r="D17" i="21"/>
  <c r="C17" i="21"/>
  <c r="B17" i="21"/>
  <c r="G16" i="21"/>
  <c r="D16" i="21"/>
  <c r="C16" i="21"/>
  <c r="B16" i="21"/>
  <c r="G15" i="21"/>
  <c r="F15" i="21"/>
  <c r="E15" i="21"/>
  <c r="C15" i="21"/>
  <c r="B15" i="21"/>
  <c r="G14" i="21"/>
  <c r="F14" i="21"/>
  <c r="E14" i="21"/>
  <c r="C14" i="21"/>
  <c r="G12" i="21"/>
  <c r="B11" i="21"/>
  <c r="G6" i="21"/>
  <c r="F6" i="21"/>
  <c r="D6" i="21"/>
  <c r="C6" i="21"/>
  <c r="G5" i="21"/>
  <c r="F32" i="20"/>
  <c r="E32" i="20"/>
  <c r="D32" i="20"/>
  <c r="C32" i="20"/>
  <c r="B32" i="20"/>
  <c r="H30" i="20"/>
  <c r="G30" i="20"/>
  <c r="E30" i="20"/>
  <c r="C30" i="20"/>
  <c r="F29" i="20"/>
  <c r="E29" i="20"/>
  <c r="D29" i="20"/>
  <c r="C29" i="20"/>
  <c r="B29" i="20"/>
  <c r="F28" i="20"/>
  <c r="F30" i="20" s="1"/>
  <c r="E28" i="20"/>
  <c r="D28" i="20"/>
  <c r="C28" i="20"/>
  <c r="B28" i="20"/>
  <c r="H25" i="20"/>
  <c r="G25" i="20"/>
  <c r="E25" i="20"/>
  <c r="F24" i="20"/>
  <c r="E24" i="20"/>
  <c r="D24" i="20"/>
  <c r="C24" i="20"/>
  <c r="C25" i="20" s="1"/>
  <c r="B24" i="20"/>
  <c r="F23" i="20"/>
  <c r="F25" i="20" s="1"/>
  <c r="E23" i="20"/>
  <c r="D23" i="20"/>
  <c r="C23" i="20"/>
  <c r="B23" i="20"/>
  <c r="H20" i="20"/>
  <c r="H34" i="20" s="1"/>
  <c r="G20" i="20"/>
  <c r="G34" i="20" s="1"/>
  <c r="E20" i="20"/>
  <c r="E34" i="20" s="1"/>
  <c r="F19" i="20"/>
  <c r="E19" i="20"/>
  <c r="D19" i="20"/>
  <c r="C19" i="20"/>
  <c r="C20" i="20" s="1"/>
  <c r="C34" i="20" s="1"/>
  <c r="B19" i="20"/>
  <c r="F18" i="20"/>
  <c r="F20" i="20" s="1"/>
  <c r="E18" i="20"/>
  <c r="D18" i="20"/>
  <c r="D20" i="20" s="1"/>
  <c r="C18" i="20"/>
  <c r="B18" i="20"/>
  <c r="G14" i="20"/>
  <c r="G12" i="20"/>
  <c r="C12" i="20"/>
  <c r="C14" i="20" s="1"/>
  <c r="C36" i="20" s="1"/>
  <c r="F11" i="20"/>
  <c r="E11" i="20"/>
  <c r="D11" i="20"/>
  <c r="C11" i="20"/>
  <c r="B11" i="20"/>
  <c r="F10" i="20"/>
  <c r="E10" i="20"/>
  <c r="D10" i="20"/>
  <c r="C10" i="20"/>
  <c r="B10" i="20"/>
  <c r="H9" i="20"/>
  <c r="F9" i="20"/>
  <c r="E9" i="20"/>
  <c r="D9" i="20"/>
  <c r="C9" i="20"/>
  <c r="B9" i="20"/>
  <c r="H8" i="20"/>
  <c r="H12" i="20" s="1"/>
  <c r="H14" i="20" s="1"/>
  <c r="F8" i="20"/>
  <c r="F12" i="20" s="1"/>
  <c r="F14" i="20" s="1"/>
  <c r="E8" i="20"/>
  <c r="D8" i="20"/>
  <c r="C8" i="20"/>
  <c r="B8" i="20"/>
  <c r="F7" i="20"/>
  <c r="E7" i="20"/>
  <c r="E12" i="20" s="1"/>
  <c r="D7" i="20"/>
  <c r="C7" i="20"/>
  <c r="B7" i="20"/>
  <c r="F4" i="20"/>
  <c r="E4" i="20"/>
  <c r="D4" i="20"/>
  <c r="C4" i="20"/>
  <c r="B4" i="20"/>
  <c r="G32" i="19"/>
  <c r="G30" i="19"/>
  <c r="F28" i="19"/>
  <c r="E28" i="19"/>
  <c r="D19" i="14" s="1"/>
  <c r="D28" i="19"/>
  <c r="C19" i="14" s="1"/>
  <c r="C28" i="19"/>
  <c r="B28" i="19"/>
  <c r="H26" i="19"/>
  <c r="G26" i="19"/>
  <c r="E26" i="19"/>
  <c r="C26" i="19"/>
  <c r="F25" i="19"/>
  <c r="F26" i="19" s="1"/>
  <c r="E25" i="19"/>
  <c r="D25" i="19"/>
  <c r="D26" i="19" s="1"/>
  <c r="C25" i="19"/>
  <c r="B25" i="19"/>
  <c r="H22" i="19"/>
  <c r="H30" i="19" s="1"/>
  <c r="G22" i="19"/>
  <c r="F22" i="19"/>
  <c r="E22" i="19"/>
  <c r="E30" i="19" s="1"/>
  <c r="F21" i="19"/>
  <c r="E21" i="19"/>
  <c r="D21" i="19"/>
  <c r="C21" i="19"/>
  <c r="C22" i="19" s="1"/>
  <c r="B21" i="19"/>
  <c r="F20" i="19"/>
  <c r="E20" i="19"/>
  <c r="D20" i="19"/>
  <c r="C20" i="19"/>
  <c r="B20" i="19"/>
  <c r="G16" i="19"/>
  <c r="H14" i="19"/>
  <c r="G14" i="19"/>
  <c r="F13" i="19"/>
  <c r="E13" i="19"/>
  <c r="D13" i="19"/>
  <c r="C13" i="19"/>
  <c r="B13" i="19"/>
  <c r="F12" i="19"/>
  <c r="E12" i="19"/>
  <c r="D12" i="19"/>
  <c r="C12" i="19"/>
  <c r="B12" i="19"/>
  <c r="F11" i="19"/>
  <c r="E11" i="19"/>
  <c r="D11" i="19"/>
  <c r="C11" i="19"/>
  <c r="B11" i="19"/>
  <c r="F10" i="19"/>
  <c r="E10" i="19"/>
  <c r="D10" i="19"/>
  <c r="C10" i="19"/>
  <c r="B10" i="19"/>
  <c r="F9" i="19"/>
  <c r="F14" i="19" s="1"/>
  <c r="E9" i="19"/>
  <c r="D9" i="19"/>
  <c r="D14" i="19" s="1"/>
  <c r="C9" i="19"/>
  <c r="C14" i="19" s="1"/>
  <c r="C16" i="19" s="1"/>
  <c r="B9" i="19"/>
  <c r="H6" i="19"/>
  <c r="H16" i="19" s="1"/>
  <c r="H32" i="19" s="1"/>
  <c r="G6" i="19"/>
  <c r="E6" i="19"/>
  <c r="C6" i="19"/>
  <c r="F5" i="19"/>
  <c r="F6" i="19" s="1"/>
  <c r="E5" i="19"/>
  <c r="D5" i="19"/>
  <c r="D6" i="19" s="1"/>
  <c r="D16" i="19" s="1"/>
  <c r="C5" i="19"/>
  <c r="B5" i="19"/>
  <c r="H31" i="18"/>
  <c r="G31" i="18"/>
  <c r="D31" i="18"/>
  <c r="F30" i="18"/>
  <c r="F31" i="18" s="1"/>
  <c r="E14" i="14" s="1"/>
  <c r="E30" i="18"/>
  <c r="E31" i="18" s="1"/>
  <c r="D14" i="14" s="1"/>
  <c r="D30" i="18"/>
  <c r="C30" i="18"/>
  <c r="C31" i="18" s="1"/>
  <c r="B14" i="14" s="1"/>
  <c r="B30" i="18"/>
  <c r="H27" i="18"/>
  <c r="G27" i="18"/>
  <c r="D27" i="18"/>
  <c r="F26" i="18"/>
  <c r="E26" i="18"/>
  <c r="D26" i="18"/>
  <c r="C26" i="18"/>
  <c r="B26" i="18"/>
  <c r="F25" i="18"/>
  <c r="F27" i="18" s="1"/>
  <c r="E25" i="18"/>
  <c r="E27" i="18" s="1"/>
  <c r="E33" i="18" s="1"/>
  <c r="D25" i="18"/>
  <c r="C25" i="18"/>
  <c r="B25" i="18"/>
  <c r="F24" i="18"/>
  <c r="E24" i="18"/>
  <c r="D24" i="18"/>
  <c r="C24" i="18"/>
  <c r="B24" i="18"/>
  <c r="F23" i="18"/>
  <c r="E23" i="18"/>
  <c r="D23" i="18"/>
  <c r="C23" i="18"/>
  <c r="B23" i="18"/>
  <c r="H20" i="18"/>
  <c r="G20" i="18"/>
  <c r="F20" i="18"/>
  <c r="D20" i="18"/>
  <c r="F19" i="18"/>
  <c r="E19" i="18"/>
  <c r="E20" i="18" s="1"/>
  <c r="D19" i="18"/>
  <c r="C19" i="18"/>
  <c r="C20" i="18" s="1"/>
  <c r="B19" i="18"/>
  <c r="H16" i="18"/>
  <c r="G16" i="18"/>
  <c r="G33" i="18" s="1"/>
  <c r="F16" i="18"/>
  <c r="E16" i="18"/>
  <c r="D16" i="18"/>
  <c r="H10" i="18"/>
  <c r="G10" i="18"/>
  <c r="G12" i="18" s="1"/>
  <c r="E10" i="18"/>
  <c r="D10" i="18"/>
  <c r="F9" i="18"/>
  <c r="F10" i="18" s="1"/>
  <c r="F12" i="18" s="1"/>
  <c r="E9" i="18"/>
  <c r="D9" i="18"/>
  <c r="C9" i="18"/>
  <c r="C10" i="18" s="1"/>
  <c r="B9" i="18"/>
  <c r="H6" i="18"/>
  <c r="H12" i="18" s="1"/>
  <c r="G6" i="18"/>
  <c r="F5" i="18"/>
  <c r="F6" i="18" s="1"/>
  <c r="E5" i="18"/>
  <c r="E6" i="18" s="1"/>
  <c r="E12" i="18" s="1"/>
  <c r="D5" i="18"/>
  <c r="D6" i="18" s="1"/>
  <c r="D12" i="18" s="1"/>
  <c r="C5" i="18"/>
  <c r="C6" i="18" s="1"/>
  <c r="C12" i="18" s="1"/>
  <c r="B5" i="18"/>
  <c r="H30" i="17"/>
  <c r="G30" i="17"/>
  <c r="G32" i="17" s="1"/>
  <c r="F30" i="17"/>
  <c r="F29" i="17"/>
  <c r="E29" i="17"/>
  <c r="D29" i="17"/>
  <c r="C29" i="17"/>
  <c r="B29" i="17"/>
  <c r="F28" i="17"/>
  <c r="E28" i="17"/>
  <c r="D28" i="17"/>
  <c r="C28" i="17"/>
  <c r="B28" i="17"/>
  <c r="F27" i="17"/>
  <c r="E27" i="17"/>
  <c r="E30" i="17" s="1"/>
  <c r="D27" i="17"/>
  <c r="D30" i="17" s="1"/>
  <c r="C27" i="17"/>
  <c r="B27" i="17"/>
  <c r="H24" i="17"/>
  <c r="G24" i="17"/>
  <c r="F24" i="17"/>
  <c r="D24" i="17"/>
  <c r="C24" i="17"/>
  <c r="F23" i="17"/>
  <c r="E23" i="17"/>
  <c r="D23" i="17"/>
  <c r="C23" i="17"/>
  <c r="B23" i="17"/>
  <c r="F22" i="17"/>
  <c r="E22" i="17"/>
  <c r="E24" i="17" s="1"/>
  <c r="D22" i="17"/>
  <c r="C22" i="17"/>
  <c r="B22" i="17"/>
  <c r="H19" i="17"/>
  <c r="G19" i="17"/>
  <c r="F18" i="17"/>
  <c r="E18" i="17"/>
  <c r="D18" i="17"/>
  <c r="B18" i="17"/>
  <c r="F17" i="17"/>
  <c r="F19" i="17" s="1"/>
  <c r="F32" i="17" s="1"/>
  <c r="E17" i="17"/>
  <c r="E19" i="17" s="1"/>
  <c r="D17" i="17"/>
  <c r="D19" i="17" s="1"/>
  <c r="D32" i="17" s="1"/>
  <c r="C17" i="17"/>
  <c r="C19" i="17" s="1"/>
  <c r="B17" i="17"/>
  <c r="H12" i="17"/>
  <c r="H10" i="17"/>
  <c r="G10" i="17"/>
  <c r="G12" i="17" s="1"/>
  <c r="G34" i="17" s="1"/>
  <c r="F10" i="17"/>
  <c r="F12" i="17" s="1"/>
  <c r="F34" i="17" s="1"/>
  <c r="F9" i="17"/>
  <c r="E9" i="17"/>
  <c r="E10" i="17" s="1"/>
  <c r="E12" i="17" s="1"/>
  <c r="D9" i="17"/>
  <c r="D10" i="17" s="1"/>
  <c r="D12" i="17" s="1"/>
  <c r="D34" i="17" s="1"/>
  <c r="C9" i="17"/>
  <c r="C10" i="17" s="1"/>
  <c r="C12" i="17" s="1"/>
  <c r="B9" i="17"/>
  <c r="H5" i="17"/>
  <c r="G5" i="17"/>
  <c r="E5" i="17"/>
  <c r="D5" i="17"/>
  <c r="C5" i="17"/>
  <c r="F4" i="17"/>
  <c r="F5" i="17" s="1"/>
  <c r="E4" i="17"/>
  <c r="D4" i="17"/>
  <c r="C4" i="17"/>
  <c r="B4" i="17"/>
  <c r="G34" i="16"/>
  <c r="H32" i="16"/>
  <c r="G32" i="16"/>
  <c r="D32" i="16"/>
  <c r="C32" i="16"/>
  <c r="F31" i="16"/>
  <c r="E31" i="16"/>
  <c r="D31" i="16"/>
  <c r="C31" i="16"/>
  <c r="B31" i="16"/>
  <c r="F30" i="16"/>
  <c r="E30" i="16"/>
  <c r="D30" i="16"/>
  <c r="C30" i="16"/>
  <c r="B30" i="16"/>
  <c r="F29" i="16"/>
  <c r="E29" i="16"/>
  <c r="D29" i="16"/>
  <c r="C29" i="16"/>
  <c r="B29" i="16"/>
  <c r="F28" i="16"/>
  <c r="F32" i="16" s="1"/>
  <c r="E13" i="14" s="1"/>
  <c r="E28" i="16"/>
  <c r="D28" i="16"/>
  <c r="C28" i="16"/>
  <c r="B28" i="16"/>
  <c r="H25" i="16"/>
  <c r="G25" i="16"/>
  <c r="F25" i="16"/>
  <c r="E25" i="16"/>
  <c r="F24" i="16"/>
  <c r="E24" i="16"/>
  <c r="D24" i="16"/>
  <c r="C24" i="16"/>
  <c r="B24" i="16"/>
  <c r="F23" i="16"/>
  <c r="E23" i="16"/>
  <c r="D23" i="16"/>
  <c r="C23" i="16"/>
  <c r="B23" i="16"/>
  <c r="F22" i="16"/>
  <c r="E22" i="16"/>
  <c r="D22" i="16"/>
  <c r="D25" i="16" s="1"/>
  <c r="C22" i="16"/>
  <c r="C25" i="16" s="1"/>
  <c r="B22" i="16"/>
  <c r="H19" i="16"/>
  <c r="G19" i="16"/>
  <c r="C19" i="16"/>
  <c r="F18" i="16"/>
  <c r="E18" i="16"/>
  <c r="D18" i="16"/>
  <c r="C18" i="16"/>
  <c r="B18" i="16"/>
  <c r="F17" i="16"/>
  <c r="E17" i="16"/>
  <c r="D17" i="16"/>
  <c r="C17" i="16"/>
  <c r="B17" i="16"/>
  <c r="H14" i="16"/>
  <c r="H34" i="16" s="1"/>
  <c r="G14" i="16"/>
  <c r="D14" i="16"/>
  <c r="F13" i="16"/>
  <c r="E13" i="16"/>
  <c r="D13" i="16"/>
  <c r="C13" i="16"/>
  <c r="B13" i="16"/>
  <c r="F12" i="16"/>
  <c r="E12" i="16"/>
  <c r="D12" i="16"/>
  <c r="C12" i="16"/>
  <c r="B12" i="16"/>
  <c r="G8" i="16"/>
  <c r="F8" i="16"/>
  <c r="H6" i="16"/>
  <c r="H8" i="16" s="1"/>
  <c r="G6" i="16"/>
  <c r="E6" i="16"/>
  <c r="E8" i="16" s="1"/>
  <c r="D6" i="16"/>
  <c r="F5" i="16"/>
  <c r="F6" i="16" s="1"/>
  <c r="E5" i="16"/>
  <c r="D5" i="16"/>
  <c r="C5" i="16"/>
  <c r="C6" i="16" s="1"/>
  <c r="C8" i="16" s="1"/>
  <c r="B5" i="16"/>
  <c r="H36" i="15"/>
  <c r="G36" i="15"/>
  <c r="D36" i="15"/>
  <c r="C36" i="15"/>
  <c r="F35" i="15"/>
  <c r="E35" i="15"/>
  <c r="D35" i="15"/>
  <c r="C35" i="15"/>
  <c r="B35" i="15"/>
  <c r="F34" i="15"/>
  <c r="E34" i="15"/>
  <c r="D34" i="15"/>
  <c r="C34" i="15"/>
  <c r="B34" i="15"/>
  <c r="F33" i="15"/>
  <c r="E33" i="15"/>
  <c r="D33" i="15"/>
  <c r="C33" i="15"/>
  <c r="B33" i="15"/>
  <c r="F32" i="15"/>
  <c r="F36" i="15" s="1"/>
  <c r="E32" i="15"/>
  <c r="D32" i="15"/>
  <c r="C32" i="15"/>
  <c r="B32" i="15"/>
  <c r="H29" i="15"/>
  <c r="G12" i="14" s="1"/>
  <c r="G29" i="15"/>
  <c r="F29" i="15"/>
  <c r="E29" i="15"/>
  <c r="F28" i="15"/>
  <c r="E28" i="15"/>
  <c r="D28" i="15"/>
  <c r="C28" i="15"/>
  <c r="B28" i="15"/>
  <c r="F27" i="15"/>
  <c r="E27" i="15"/>
  <c r="D27" i="15"/>
  <c r="C27" i="15"/>
  <c r="B27" i="15"/>
  <c r="F26" i="15"/>
  <c r="E26" i="15"/>
  <c r="D26" i="15"/>
  <c r="D29" i="15" s="1"/>
  <c r="C26" i="15"/>
  <c r="C29" i="15" s="1"/>
  <c r="B12" i="14" s="1"/>
  <c r="B26" i="15"/>
  <c r="H23" i="15"/>
  <c r="G23" i="15"/>
  <c r="E23" i="15"/>
  <c r="C23" i="15"/>
  <c r="F22" i="15"/>
  <c r="E22" i="15"/>
  <c r="D22" i="15"/>
  <c r="C22" i="15"/>
  <c r="B22" i="15"/>
  <c r="F21" i="15"/>
  <c r="F23" i="15" s="1"/>
  <c r="E21" i="15"/>
  <c r="D21" i="15"/>
  <c r="D23" i="15" s="1"/>
  <c r="C21" i="15"/>
  <c r="B21" i="15"/>
  <c r="H18" i="15"/>
  <c r="G18" i="15"/>
  <c r="G38" i="15" s="1"/>
  <c r="E18" i="15"/>
  <c r="F17" i="15"/>
  <c r="E17" i="15"/>
  <c r="D17" i="15"/>
  <c r="C17" i="15"/>
  <c r="B17" i="15"/>
  <c r="F16" i="15"/>
  <c r="E16" i="15"/>
  <c r="D16" i="15"/>
  <c r="D18" i="15" s="1"/>
  <c r="C16" i="15"/>
  <c r="C18" i="15" s="1"/>
  <c r="B16" i="15"/>
  <c r="H10" i="15"/>
  <c r="G10" i="15"/>
  <c r="F10" i="15"/>
  <c r="E10" i="15"/>
  <c r="D10" i="15"/>
  <c r="C10" i="15"/>
  <c r="H6" i="15"/>
  <c r="G6" i="15"/>
  <c r="F6" i="15"/>
  <c r="D6" i="15"/>
  <c r="F5" i="15"/>
  <c r="E5" i="15"/>
  <c r="E6" i="15" s="1"/>
  <c r="D5" i="15"/>
  <c r="C5" i="15"/>
  <c r="C6" i="15" s="1"/>
  <c r="B5" i="15"/>
  <c r="G19" i="14"/>
  <c r="F19" i="14"/>
  <c r="E19" i="14"/>
  <c r="B19" i="14"/>
  <c r="G14" i="14"/>
  <c r="F14" i="14"/>
  <c r="C14" i="14"/>
  <c r="F13" i="14"/>
  <c r="F12" i="14"/>
  <c r="C12" i="14"/>
  <c r="G11" i="14"/>
  <c r="F11" i="14"/>
  <c r="G10" i="14"/>
  <c r="F10" i="14"/>
  <c r="F6" i="14"/>
  <c r="E6" i="14"/>
  <c r="D6" i="14"/>
  <c r="C6" i="14"/>
  <c r="B6" i="14"/>
  <c r="G5" i="14"/>
  <c r="G4" i="14"/>
  <c r="F4" i="14"/>
  <c r="H25" i="13"/>
  <c r="G25" i="13"/>
  <c r="D25" i="13"/>
  <c r="F24" i="13"/>
  <c r="F25" i="13" s="1"/>
  <c r="E24" i="13"/>
  <c r="E25" i="13" s="1"/>
  <c r="D24" i="13"/>
  <c r="C24" i="13"/>
  <c r="C25" i="13" s="1"/>
  <c r="B24" i="13"/>
  <c r="H21" i="13"/>
  <c r="H27" i="13" s="1"/>
  <c r="G21" i="13"/>
  <c r="G27" i="13" s="1"/>
  <c r="D21" i="13"/>
  <c r="D27" i="13" s="1"/>
  <c r="F20" i="13"/>
  <c r="E20" i="13"/>
  <c r="D20" i="13"/>
  <c r="C20" i="13"/>
  <c r="B20" i="13"/>
  <c r="F19" i="13"/>
  <c r="F21" i="13" s="1"/>
  <c r="E19" i="13"/>
  <c r="E21" i="13" s="1"/>
  <c r="D19" i="13"/>
  <c r="C19" i="13"/>
  <c r="C21" i="13" s="1"/>
  <c r="C27" i="13" s="1"/>
  <c r="B19" i="13"/>
  <c r="H13" i="13"/>
  <c r="G13" i="13"/>
  <c r="F12" i="13"/>
  <c r="E12" i="13"/>
  <c r="D12" i="13"/>
  <c r="C12" i="13"/>
  <c r="B12" i="13"/>
  <c r="F11" i="13"/>
  <c r="E11" i="13"/>
  <c r="D11" i="13"/>
  <c r="C11" i="13"/>
  <c r="C13" i="13" s="1"/>
  <c r="B11" i="13"/>
  <c r="F10" i="13"/>
  <c r="E10" i="13"/>
  <c r="D10" i="13"/>
  <c r="C10" i="13"/>
  <c r="B10" i="13"/>
  <c r="F9" i="13"/>
  <c r="E9" i="13"/>
  <c r="E13" i="13" s="1"/>
  <c r="E15" i="13" s="1"/>
  <c r="D9" i="13"/>
  <c r="D13" i="13" s="1"/>
  <c r="C9" i="13"/>
  <c r="B9" i="13"/>
  <c r="H6" i="13"/>
  <c r="H15" i="13" s="1"/>
  <c r="G6" i="13"/>
  <c r="G15" i="13" s="1"/>
  <c r="G29" i="13" s="1"/>
  <c r="E6" i="13"/>
  <c r="D6" i="13"/>
  <c r="D15" i="13" s="1"/>
  <c r="D29" i="13" s="1"/>
  <c r="F5" i="13"/>
  <c r="F6" i="13" s="1"/>
  <c r="E5" i="13"/>
  <c r="D5" i="13"/>
  <c r="C5" i="13"/>
  <c r="C6" i="13" s="1"/>
  <c r="B5" i="13"/>
  <c r="F54" i="12"/>
  <c r="E54" i="12"/>
  <c r="D54" i="12"/>
  <c r="C54" i="12"/>
  <c r="B54" i="12"/>
  <c r="F53" i="12"/>
  <c r="E53" i="12"/>
  <c r="D53" i="12"/>
  <c r="C53" i="12"/>
  <c r="B53" i="12"/>
  <c r="H51" i="12"/>
  <c r="G51" i="12"/>
  <c r="F51" i="12"/>
  <c r="H50" i="12"/>
  <c r="F50" i="12"/>
  <c r="E50" i="12"/>
  <c r="D50" i="12"/>
  <c r="C50" i="12"/>
  <c r="B50" i="12"/>
  <c r="F49" i="12"/>
  <c r="E49" i="12"/>
  <c r="D49" i="12"/>
  <c r="C49" i="12"/>
  <c r="B49" i="12"/>
  <c r="F48" i="12"/>
  <c r="E48" i="12"/>
  <c r="D48" i="12"/>
  <c r="C48" i="12"/>
  <c r="B48" i="12"/>
  <c r="H47" i="12"/>
  <c r="F47" i="12"/>
  <c r="E47" i="12"/>
  <c r="D47" i="12"/>
  <c r="C47" i="12"/>
  <c r="B47" i="12"/>
  <c r="F46" i="12"/>
  <c r="E46" i="12"/>
  <c r="D46" i="12"/>
  <c r="C46" i="12"/>
  <c r="B46" i="12"/>
  <c r="F45" i="12"/>
  <c r="E45" i="12"/>
  <c r="E51" i="12" s="1"/>
  <c r="D45" i="12"/>
  <c r="C45" i="12"/>
  <c r="B45" i="12"/>
  <c r="F44" i="12"/>
  <c r="E44" i="12"/>
  <c r="D44" i="12"/>
  <c r="D51" i="12" s="1"/>
  <c r="C44" i="12"/>
  <c r="C51" i="12" s="1"/>
  <c r="B44" i="12"/>
  <c r="H40" i="12"/>
  <c r="G40" i="12"/>
  <c r="F39" i="12"/>
  <c r="E39" i="12"/>
  <c r="D39" i="12"/>
  <c r="C39" i="12"/>
  <c r="B39" i="12"/>
  <c r="F38" i="12"/>
  <c r="E38" i="12"/>
  <c r="D38" i="12"/>
  <c r="C38" i="12"/>
  <c r="B38" i="12"/>
  <c r="F37" i="12"/>
  <c r="E37" i="12"/>
  <c r="D37" i="12"/>
  <c r="C37" i="12"/>
  <c r="B37" i="12"/>
  <c r="F36" i="12"/>
  <c r="E36" i="12"/>
  <c r="D36" i="12"/>
  <c r="C36" i="12"/>
  <c r="C40" i="12" s="1"/>
  <c r="B36" i="12"/>
  <c r="H33" i="12"/>
  <c r="G33" i="12"/>
  <c r="E33" i="12"/>
  <c r="C33" i="12"/>
  <c r="F32" i="12"/>
  <c r="F33" i="12" s="1"/>
  <c r="E32" i="12"/>
  <c r="D32" i="12"/>
  <c r="D33" i="12" s="1"/>
  <c r="C11" i="8" s="1"/>
  <c r="C32" i="12"/>
  <c r="B32" i="12"/>
  <c r="H29" i="12"/>
  <c r="G29" i="12"/>
  <c r="G55" i="12" s="1"/>
  <c r="F29" i="12"/>
  <c r="H28" i="12"/>
  <c r="F28" i="12"/>
  <c r="E28" i="12"/>
  <c r="D28" i="12"/>
  <c r="C28" i="12"/>
  <c r="B28" i="12"/>
  <c r="F27" i="12"/>
  <c r="E27" i="12"/>
  <c r="D27" i="12"/>
  <c r="C27" i="12"/>
  <c r="B27" i="12"/>
  <c r="H26" i="12"/>
  <c r="F26" i="12"/>
  <c r="E26" i="12"/>
  <c r="D26" i="12"/>
  <c r="C26" i="12"/>
  <c r="B26" i="12"/>
  <c r="F25" i="12"/>
  <c r="E25" i="12"/>
  <c r="D25" i="12"/>
  <c r="C25" i="12"/>
  <c r="B25" i="12"/>
  <c r="F24" i="12"/>
  <c r="E24" i="12"/>
  <c r="D24" i="12"/>
  <c r="C24" i="12"/>
  <c r="B24" i="12"/>
  <c r="F23" i="12"/>
  <c r="E23" i="12"/>
  <c r="E29" i="12" s="1"/>
  <c r="D23" i="12"/>
  <c r="D29" i="12" s="1"/>
  <c r="C23" i="12"/>
  <c r="C29" i="12" s="1"/>
  <c r="B23" i="12"/>
  <c r="H17" i="12"/>
  <c r="H19" i="12" s="1"/>
  <c r="G17" i="12"/>
  <c r="D17" i="12"/>
  <c r="F16" i="12"/>
  <c r="F17" i="12" s="1"/>
  <c r="E16" i="12"/>
  <c r="E17" i="12" s="1"/>
  <c r="D16" i="12"/>
  <c r="C16" i="12"/>
  <c r="C17" i="12" s="1"/>
  <c r="H13" i="12"/>
  <c r="G13" i="12"/>
  <c r="G19" i="12" s="1"/>
  <c r="G57" i="12" s="1"/>
  <c r="C13" i="12"/>
  <c r="F12" i="12"/>
  <c r="E12" i="12"/>
  <c r="D12" i="12"/>
  <c r="C12" i="12"/>
  <c r="B12" i="12"/>
  <c r="F11" i="12"/>
  <c r="E11" i="12"/>
  <c r="D11" i="12"/>
  <c r="C11" i="12"/>
  <c r="B11" i="12"/>
  <c r="F10" i="12"/>
  <c r="E10" i="12"/>
  <c r="D10" i="12"/>
  <c r="C10" i="12"/>
  <c r="B10" i="12"/>
  <c r="F9" i="12"/>
  <c r="E9" i="12"/>
  <c r="D9" i="12"/>
  <c r="C9" i="12"/>
  <c r="B9" i="12"/>
  <c r="F8" i="12"/>
  <c r="F13" i="12" s="1"/>
  <c r="E8" i="12"/>
  <c r="E13" i="12" s="1"/>
  <c r="D8" i="12"/>
  <c r="D13" i="12" s="1"/>
  <c r="D19" i="12" s="1"/>
  <c r="C8" i="12"/>
  <c r="B8" i="12"/>
  <c r="H5" i="12"/>
  <c r="G5" i="12"/>
  <c r="E5" i="12"/>
  <c r="C5" i="12"/>
  <c r="C19" i="12" s="1"/>
  <c r="F4" i="12"/>
  <c r="F5" i="12" s="1"/>
  <c r="E4" i="12"/>
  <c r="D4" i="12"/>
  <c r="D5" i="12" s="1"/>
  <c r="C4" i="12"/>
  <c r="B4" i="12"/>
  <c r="F60" i="11"/>
  <c r="E60" i="11"/>
  <c r="D60" i="11"/>
  <c r="C60" i="11"/>
  <c r="B60" i="11"/>
  <c r="H59" i="11"/>
  <c r="F59" i="11"/>
  <c r="E18" i="8" s="1"/>
  <c r="E59" i="11"/>
  <c r="D18" i="8" s="1"/>
  <c r="D59" i="11"/>
  <c r="C59" i="11"/>
  <c r="B59" i="11"/>
  <c r="H56" i="11"/>
  <c r="G56" i="11"/>
  <c r="E56" i="11"/>
  <c r="D56" i="11"/>
  <c r="F55" i="11"/>
  <c r="F56" i="11" s="1"/>
  <c r="E55" i="11"/>
  <c r="D55" i="11"/>
  <c r="C55" i="11"/>
  <c r="C56" i="11" s="1"/>
  <c r="B55" i="11"/>
  <c r="H52" i="11"/>
  <c r="G52" i="11"/>
  <c r="H51" i="11"/>
  <c r="F51" i="11"/>
  <c r="E51" i="11"/>
  <c r="D51" i="11"/>
  <c r="C51" i="11"/>
  <c r="B51" i="11"/>
  <c r="F50" i="11"/>
  <c r="E50" i="11"/>
  <c r="D50" i="11"/>
  <c r="C50" i="11"/>
  <c r="B50" i="11"/>
  <c r="F49" i="11"/>
  <c r="E49" i="11"/>
  <c r="D49" i="11"/>
  <c r="C49" i="11"/>
  <c r="B49" i="11"/>
  <c r="F48" i="11"/>
  <c r="E48" i="11"/>
  <c r="D48" i="11"/>
  <c r="C48" i="11"/>
  <c r="B48" i="11"/>
  <c r="F47" i="11"/>
  <c r="E47" i="11"/>
  <c r="D47" i="11"/>
  <c r="C47" i="11"/>
  <c r="B47" i="11"/>
  <c r="F46" i="11"/>
  <c r="E46" i="11"/>
  <c r="D46" i="11"/>
  <c r="C46" i="11"/>
  <c r="B46" i="11"/>
  <c r="F45" i="11"/>
  <c r="F52" i="11" s="1"/>
  <c r="E45" i="11"/>
  <c r="E52" i="11" s="1"/>
  <c r="D45" i="11"/>
  <c r="D52" i="11" s="1"/>
  <c r="C45" i="11"/>
  <c r="B45" i="11"/>
  <c r="H41" i="11"/>
  <c r="G41" i="11"/>
  <c r="F41" i="11"/>
  <c r="E41" i="11"/>
  <c r="D41" i="11"/>
  <c r="C41" i="11"/>
  <c r="B40" i="11"/>
  <c r="H37" i="11"/>
  <c r="G37" i="11"/>
  <c r="F36" i="11"/>
  <c r="E36" i="11"/>
  <c r="D36" i="11"/>
  <c r="C36" i="11"/>
  <c r="B36" i="11"/>
  <c r="F35" i="11"/>
  <c r="E35" i="11"/>
  <c r="D35" i="11"/>
  <c r="C35" i="11"/>
  <c r="B35" i="11"/>
  <c r="F34" i="11"/>
  <c r="E34" i="11"/>
  <c r="D34" i="11"/>
  <c r="C34" i="11"/>
  <c r="B34" i="11"/>
  <c r="F33" i="11"/>
  <c r="E33" i="11"/>
  <c r="E37" i="11" s="1"/>
  <c r="D33" i="11"/>
  <c r="C33" i="11"/>
  <c r="C37" i="11" s="1"/>
  <c r="B33" i="11"/>
  <c r="G30" i="11"/>
  <c r="G63" i="11" s="1"/>
  <c r="C30" i="11"/>
  <c r="H29" i="11"/>
  <c r="H30" i="11" s="1"/>
  <c r="H63" i="11" s="1"/>
  <c r="F29" i="11"/>
  <c r="E29" i="11"/>
  <c r="D29" i="11"/>
  <c r="C29" i="11"/>
  <c r="B29" i="11"/>
  <c r="H28" i="11"/>
  <c r="F28" i="11"/>
  <c r="F30" i="11" s="1"/>
  <c r="E28" i="11"/>
  <c r="E30" i="11" s="1"/>
  <c r="D28" i="11"/>
  <c r="D30" i="11" s="1"/>
  <c r="C28" i="11"/>
  <c r="B28" i="11"/>
  <c r="H22" i="11"/>
  <c r="G22" i="11"/>
  <c r="F21" i="11"/>
  <c r="E21" i="11"/>
  <c r="D21" i="11"/>
  <c r="C21" i="11"/>
  <c r="B21" i="11"/>
  <c r="F20" i="11"/>
  <c r="E20" i="11"/>
  <c r="D20" i="11"/>
  <c r="C20" i="11"/>
  <c r="C22" i="11" s="1"/>
  <c r="B20" i="11"/>
  <c r="F19" i="11"/>
  <c r="E19" i="11"/>
  <c r="D19" i="11"/>
  <c r="C19" i="11"/>
  <c r="B19" i="11"/>
  <c r="F18" i="11"/>
  <c r="E18" i="11"/>
  <c r="E22" i="11" s="1"/>
  <c r="D18" i="11"/>
  <c r="D22" i="11" s="1"/>
  <c r="C18" i="11"/>
  <c r="B18" i="11"/>
  <c r="H15" i="11"/>
  <c r="G15" i="11"/>
  <c r="G24" i="11" s="1"/>
  <c r="G65" i="11" s="1"/>
  <c r="D15" i="11"/>
  <c r="F14" i="11"/>
  <c r="E14" i="11"/>
  <c r="D14" i="11"/>
  <c r="C14" i="11"/>
  <c r="B14" i="11"/>
  <c r="F13" i="11"/>
  <c r="E13" i="11"/>
  <c r="D13" i="11"/>
  <c r="C13" i="11"/>
  <c r="B13" i="11"/>
  <c r="F12" i="11"/>
  <c r="E12" i="11"/>
  <c r="D12" i="11"/>
  <c r="C12" i="11"/>
  <c r="B12" i="11"/>
  <c r="F11" i="11"/>
  <c r="E11" i="11"/>
  <c r="D11" i="11"/>
  <c r="C11" i="11"/>
  <c r="B11" i="11"/>
  <c r="F10" i="11"/>
  <c r="E10" i="11"/>
  <c r="E15" i="11" s="1"/>
  <c r="D10" i="11"/>
  <c r="C10" i="11"/>
  <c r="B10" i="11"/>
  <c r="F9" i="11"/>
  <c r="E9" i="11"/>
  <c r="D9" i="11"/>
  <c r="C9" i="11"/>
  <c r="B9" i="11"/>
  <c r="F8" i="11"/>
  <c r="E8" i="11"/>
  <c r="D8" i="11"/>
  <c r="C8" i="11"/>
  <c r="B8" i="11"/>
  <c r="H6" i="11"/>
  <c r="H24" i="11" s="1"/>
  <c r="H65" i="11" s="1"/>
  <c r="E6" i="11"/>
  <c r="D6" i="11"/>
  <c r="D24" i="11" s="1"/>
  <c r="C6" i="11"/>
  <c r="H5" i="11"/>
  <c r="F5" i="11"/>
  <c r="F6" i="11" s="1"/>
  <c r="E5" i="11"/>
  <c r="D5" i="11"/>
  <c r="C5" i="11"/>
  <c r="B5" i="11"/>
  <c r="F78" i="10"/>
  <c r="E78" i="10"/>
  <c r="D78" i="10"/>
  <c r="C78" i="10"/>
  <c r="B78" i="10"/>
  <c r="F77" i="10"/>
  <c r="E77" i="10"/>
  <c r="D77" i="10"/>
  <c r="C77" i="10"/>
  <c r="B77" i="10"/>
  <c r="H74" i="10"/>
  <c r="G74" i="10"/>
  <c r="F74" i="10"/>
  <c r="E16" i="8" s="1"/>
  <c r="D74" i="10"/>
  <c r="F73" i="10"/>
  <c r="E73" i="10"/>
  <c r="E74" i="10" s="1"/>
  <c r="D73" i="10"/>
  <c r="C73" i="10"/>
  <c r="C74" i="10" s="1"/>
  <c r="B73" i="10"/>
  <c r="H70" i="10"/>
  <c r="G70" i="10"/>
  <c r="D70" i="10"/>
  <c r="F69" i="10"/>
  <c r="F70" i="10" s="1"/>
  <c r="E69" i="10"/>
  <c r="E70" i="10" s="1"/>
  <c r="D69" i="10"/>
  <c r="C69" i="10"/>
  <c r="C70" i="10" s="1"/>
  <c r="B69" i="10"/>
  <c r="G66" i="10"/>
  <c r="D66" i="10"/>
  <c r="F65" i="10"/>
  <c r="E65" i="10"/>
  <c r="D65" i="10"/>
  <c r="C65" i="10"/>
  <c r="B65" i="10"/>
  <c r="H64" i="10"/>
  <c r="H66" i="10" s="1"/>
  <c r="F64" i="10"/>
  <c r="E64" i="10"/>
  <c r="D64" i="10"/>
  <c r="C64" i="10"/>
  <c r="B64" i="10"/>
  <c r="F63" i="10"/>
  <c r="E63" i="10"/>
  <c r="D63" i="10"/>
  <c r="C63" i="10"/>
  <c r="B63" i="10"/>
  <c r="F62" i="10"/>
  <c r="E62" i="10"/>
  <c r="D62" i="10"/>
  <c r="C62" i="10"/>
  <c r="B62" i="10"/>
  <c r="F61" i="10"/>
  <c r="E61" i="10"/>
  <c r="D61" i="10"/>
  <c r="C61" i="10"/>
  <c r="B61" i="10"/>
  <c r="F60" i="10"/>
  <c r="E60" i="10"/>
  <c r="D60" i="10"/>
  <c r="C60" i="10"/>
  <c r="B60" i="10"/>
  <c r="F59" i="10"/>
  <c r="E59" i="10"/>
  <c r="D59" i="10"/>
  <c r="C59" i="10"/>
  <c r="B59" i="10"/>
  <c r="F58" i="10"/>
  <c r="E58" i="10"/>
  <c r="D58" i="10"/>
  <c r="C58" i="10"/>
  <c r="B58" i="10"/>
  <c r="F57" i="10"/>
  <c r="E57" i="10"/>
  <c r="D57" i="10"/>
  <c r="C57" i="10"/>
  <c r="B57" i="10"/>
  <c r="F56" i="10"/>
  <c r="E56" i="10"/>
  <c r="D56" i="10"/>
  <c r="C56" i="10"/>
  <c r="B56" i="10"/>
  <c r="F55" i="10"/>
  <c r="E55" i="10"/>
  <c r="D55" i="10"/>
  <c r="C55" i="10"/>
  <c r="B55" i="10"/>
  <c r="F54" i="10"/>
  <c r="E54" i="10"/>
  <c r="D54" i="10"/>
  <c r="C54" i="10"/>
  <c r="B54" i="10"/>
  <c r="F53" i="10"/>
  <c r="E53" i="10"/>
  <c r="E66" i="10" s="1"/>
  <c r="D13" i="8" s="1"/>
  <c r="D53" i="10"/>
  <c r="C53" i="10"/>
  <c r="B53" i="10"/>
  <c r="H49" i="10"/>
  <c r="G49" i="10"/>
  <c r="D49" i="10"/>
  <c r="F48" i="10"/>
  <c r="E48" i="10"/>
  <c r="D48" i="10"/>
  <c r="C48" i="10"/>
  <c r="B48" i="10"/>
  <c r="F47" i="10"/>
  <c r="E47" i="10"/>
  <c r="E49" i="10" s="1"/>
  <c r="D11" i="8" s="1"/>
  <c r="D47" i="10"/>
  <c r="C47" i="10"/>
  <c r="B47" i="10"/>
  <c r="F46" i="10"/>
  <c r="E46" i="10"/>
  <c r="D46" i="10"/>
  <c r="C46" i="10"/>
  <c r="B46" i="10"/>
  <c r="F45" i="10"/>
  <c r="F49" i="10" s="1"/>
  <c r="E45" i="10"/>
  <c r="D45" i="10"/>
  <c r="C45" i="10"/>
  <c r="B45" i="10"/>
  <c r="H42" i="10"/>
  <c r="G42" i="10"/>
  <c r="G80" i="10" s="1"/>
  <c r="F41" i="10"/>
  <c r="E41" i="10"/>
  <c r="D41" i="10"/>
  <c r="C41" i="10"/>
  <c r="B41" i="10"/>
  <c r="F40" i="10"/>
  <c r="E40" i="10"/>
  <c r="D40" i="10"/>
  <c r="C40" i="10"/>
  <c r="B40" i="10"/>
  <c r="F39" i="10"/>
  <c r="E39" i="10"/>
  <c r="D39" i="10"/>
  <c r="C39" i="10"/>
  <c r="B39" i="10"/>
  <c r="F38" i="10"/>
  <c r="E38" i="10"/>
  <c r="D38" i="10"/>
  <c r="C38" i="10"/>
  <c r="B38" i="10"/>
  <c r="F37" i="10"/>
  <c r="F42" i="10" s="1"/>
  <c r="E37" i="10"/>
  <c r="E42" i="10" s="1"/>
  <c r="D37" i="10"/>
  <c r="D42" i="10" s="1"/>
  <c r="C37" i="10"/>
  <c r="B37" i="10"/>
  <c r="H34" i="10"/>
  <c r="H80" i="10" s="1"/>
  <c r="G34" i="10"/>
  <c r="H33" i="10"/>
  <c r="F33" i="10"/>
  <c r="E33" i="10"/>
  <c r="D33" i="10"/>
  <c r="C33" i="10"/>
  <c r="B33" i="10"/>
  <c r="F32" i="10"/>
  <c r="E32" i="10"/>
  <c r="D32" i="10"/>
  <c r="C32" i="10"/>
  <c r="B32" i="10"/>
  <c r="H31" i="10"/>
  <c r="F31" i="10"/>
  <c r="E31" i="10"/>
  <c r="E34" i="10" s="1"/>
  <c r="D31" i="10"/>
  <c r="C31" i="10"/>
  <c r="B31" i="10"/>
  <c r="H30" i="10"/>
  <c r="F30" i="10"/>
  <c r="E30" i="10"/>
  <c r="D30" i="10"/>
  <c r="C30" i="10"/>
  <c r="B30" i="10"/>
  <c r="H29" i="10"/>
  <c r="F29" i="10"/>
  <c r="E29" i="10"/>
  <c r="D29" i="10"/>
  <c r="C29" i="10"/>
  <c r="B29" i="10"/>
  <c r="F28" i="10"/>
  <c r="F34" i="10" s="1"/>
  <c r="E28" i="10"/>
  <c r="D28" i="10"/>
  <c r="C28" i="10"/>
  <c r="B28" i="10"/>
  <c r="E24" i="10"/>
  <c r="H22" i="10"/>
  <c r="G22" i="10"/>
  <c r="F21" i="10"/>
  <c r="F22" i="10" s="1"/>
  <c r="E21" i="10"/>
  <c r="E22" i="10" s="1"/>
  <c r="D21" i="10"/>
  <c r="D22" i="10" s="1"/>
  <c r="C21" i="10"/>
  <c r="C22" i="10" s="1"/>
  <c r="B21" i="10"/>
  <c r="G19" i="10"/>
  <c r="F18" i="10"/>
  <c r="E18" i="10"/>
  <c r="D18" i="10"/>
  <c r="C18" i="10"/>
  <c r="B18" i="10"/>
  <c r="F17" i="10"/>
  <c r="E17" i="10"/>
  <c r="D17" i="10"/>
  <c r="C17" i="10"/>
  <c r="B17" i="10"/>
  <c r="F16" i="10"/>
  <c r="E16" i="10"/>
  <c r="D16" i="10"/>
  <c r="C16" i="10"/>
  <c r="B16" i="10"/>
  <c r="F15" i="10"/>
  <c r="E15" i="10"/>
  <c r="D15" i="10"/>
  <c r="C15" i="10"/>
  <c r="B15" i="10"/>
  <c r="F14" i="10"/>
  <c r="E14" i="10"/>
  <c r="D14" i="10"/>
  <c r="C14" i="10"/>
  <c r="B14" i="10"/>
  <c r="F13" i="10"/>
  <c r="E13" i="10"/>
  <c r="D13" i="10"/>
  <c r="C13" i="10"/>
  <c r="B13" i="10"/>
  <c r="H12" i="10"/>
  <c r="F12" i="10"/>
  <c r="E12" i="10"/>
  <c r="D12" i="10"/>
  <c r="C12" i="10"/>
  <c r="B12" i="10"/>
  <c r="F11" i="10"/>
  <c r="E11" i="10"/>
  <c r="D11" i="10"/>
  <c r="C11" i="10"/>
  <c r="C19" i="10" s="1"/>
  <c r="B11" i="10"/>
  <c r="H10" i="10"/>
  <c r="F10" i="10"/>
  <c r="E10" i="10"/>
  <c r="D10" i="10"/>
  <c r="C10" i="10"/>
  <c r="B10" i="10"/>
  <c r="H9" i="10"/>
  <c r="H19" i="10" s="1"/>
  <c r="F9" i="10"/>
  <c r="E9" i="10"/>
  <c r="D9" i="10"/>
  <c r="C9" i="10"/>
  <c r="B9" i="10"/>
  <c r="F8" i="10"/>
  <c r="E8" i="10"/>
  <c r="E19" i="10" s="1"/>
  <c r="D8" i="10"/>
  <c r="D19" i="10" s="1"/>
  <c r="C8" i="10"/>
  <c r="B8" i="10"/>
  <c r="H5" i="10"/>
  <c r="G5" i="10"/>
  <c r="G24" i="10" s="1"/>
  <c r="E5" i="10"/>
  <c r="D5" i="10"/>
  <c r="C5" i="10"/>
  <c r="F4" i="10"/>
  <c r="F5" i="10" s="1"/>
  <c r="E4" i="10"/>
  <c r="D4" i="10"/>
  <c r="C4" i="10"/>
  <c r="B4" i="10"/>
  <c r="F55" i="9"/>
  <c r="E55" i="9"/>
  <c r="D55" i="9"/>
  <c r="C19" i="8" s="1"/>
  <c r="C55" i="9"/>
  <c r="B55" i="9"/>
  <c r="H53" i="9"/>
  <c r="G17" i="8" s="1"/>
  <c r="G53" i="9"/>
  <c r="F17" i="8" s="1"/>
  <c r="F53" i="9"/>
  <c r="F52" i="9"/>
  <c r="E52" i="9"/>
  <c r="E53" i="9" s="1"/>
  <c r="D52" i="9"/>
  <c r="D53" i="9" s="1"/>
  <c r="C17" i="8" s="1"/>
  <c r="C52" i="9"/>
  <c r="C53" i="9" s="1"/>
  <c r="B17" i="8" s="1"/>
  <c r="B52" i="9"/>
  <c r="H49" i="9"/>
  <c r="G49" i="9"/>
  <c r="D49" i="9"/>
  <c r="C49" i="9"/>
  <c r="F48" i="9"/>
  <c r="E48" i="9"/>
  <c r="E49" i="9" s="1"/>
  <c r="D48" i="9"/>
  <c r="C48" i="9"/>
  <c r="B48" i="9"/>
  <c r="H45" i="9"/>
  <c r="G45" i="9"/>
  <c r="F45" i="9"/>
  <c r="E14" i="8" s="1"/>
  <c r="E45" i="9"/>
  <c r="D14" i="8" s="1"/>
  <c r="D45" i="9"/>
  <c r="F44" i="9"/>
  <c r="E44" i="9"/>
  <c r="D44" i="9"/>
  <c r="C44" i="9"/>
  <c r="C45" i="9" s="1"/>
  <c r="B14" i="8" s="1"/>
  <c r="B44" i="9"/>
  <c r="H41" i="9"/>
  <c r="G13" i="8" s="1"/>
  <c r="G41" i="9"/>
  <c r="F40" i="9"/>
  <c r="E40" i="9"/>
  <c r="D40" i="9"/>
  <c r="C40" i="9"/>
  <c r="B40" i="9"/>
  <c r="F39" i="9"/>
  <c r="E39" i="9"/>
  <c r="D39" i="9"/>
  <c r="C39" i="9"/>
  <c r="B39" i="9"/>
  <c r="F38" i="9"/>
  <c r="E38" i="9"/>
  <c r="D38" i="9"/>
  <c r="C38" i="9"/>
  <c r="B38" i="9"/>
  <c r="F37" i="9"/>
  <c r="E37" i="9"/>
  <c r="D37" i="9"/>
  <c r="C37" i="9"/>
  <c r="B37" i="9"/>
  <c r="F36" i="9"/>
  <c r="E36" i="9"/>
  <c r="D36" i="9"/>
  <c r="C36" i="9"/>
  <c r="B36" i="9"/>
  <c r="F35" i="9"/>
  <c r="E35" i="9"/>
  <c r="E41" i="9" s="1"/>
  <c r="D35" i="9"/>
  <c r="C35" i="9"/>
  <c r="B35" i="9"/>
  <c r="F34" i="9"/>
  <c r="E34" i="9"/>
  <c r="D34" i="9"/>
  <c r="C34" i="9"/>
  <c r="C41" i="9" s="1"/>
  <c r="B34" i="9"/>
  <c r="H31" i="9"/>
  <c r="G31" i="9"/>
  <c r="C31" i="9"/>
  <c r="F30" i="9"/>
  <c r="F31" i="9" s="1"/>
  <c r="E30" i="9"/>
  <c r="E31" i="9" s="1"/>
  <c r="D30" i="9"/>
  <c r="D31" i="9" s="1"/>
  <c r="C30" i="9"/>
  <c r="B30" i="9"/>
  <c r="H27" i="9"/>
  <c r="H57" i="9" s="1"/>
  <c r="G27" i="9"/>
  <c r="G57" i="9" s="1"/>
  <c r="D27" i="9"/>
  <c r="F26" i="9"/>
  <c r="E26" i="9"/>
  <c r="D26" i="9"/>
  <c r="C26" i="9"/>
  <c r="B26" i="9"/>
  <c r="F25" i="9"/>
  <c r="F27" i="9" s="1"/>
  <c r="E25" i="9"/>
  <c r="E27" i="9" s="1"/>
  <c r="D25" i="9"/>
  <c r="C25" i="9"/>
  <c r="C27" i="9" s="1"/>
  <c r="B25" i="9"/>
  <c r="G19" i="9"/>
  <c r="H18" i="9"/>
  <c r="G18" i="9"/>
  <c r="F17" i="9"/>
  <c r="E17" i="9"/>
  <c r="D17" i="9"/>
  <c r="D18" i="9" s="1"/>
  <c r="C17" i="9"/>
  <c r="B17" i="9"/>
  <c r="F16" i="9"/>
  <c r="F18" i="9" s="1"/>
  <c r="E16" i="9"/>
  <c r="E18" i="9" s="1"/>
  <c r="D16" i="9"/>
  <c r="C16" i="9"/>
  <c r="C18" i="9" s="1"/>
  <c r="C19" i="9" s="1"/>
  <c r="B6" i="8" s="1"/>
  <c r="B16" i="9"/>
  <c r="H13" i="9"/>
  <c r="G13" i="9"/>
  <c r="F12" i="9"/>
  <c r="F13" i="9" s="1"/>
  <c r="F19" i="9" s="1"/>
  <c r="E12" i="9"/>
  <c r="E13" i="9" s="1"/>
  <c r="D12" i="9"/>
  <c r="D13" i="9" s="1"/>
  <c r="D19" i="9" s="1"/>
  <c r="C6" i="8" s="1"/>
  <c r="C12" i="9"/>
  <c r="C13" i="9" s="1"/>
  <c r="B12" i="9"/>
  <c r="H9" i="9"/>
  <c r="G9" i="9"/>
  <c r="F5" i="8" s="1"/>
  <c r="E9" i="9"/>
  <c r="D9" i="9"/>
  <c r="C9" i="9"/>
  <c r="F8" i="9"/>
  <c r="F9" i="9" s="1"/>
  <c r="E8" i="9"/>
  <c r="D8" i="9"/>
  <c r="C8" i="9"/>
  <c r="B8" i="9"/>
  <c r="H5" i="9"/>
  <c r="G5" i="9"/>
  <c r="G21" i="9" s="1"/>
  <c r="G59" i="9" s="1"/>
  <c r="F5" i="9"/>
  <c r="E5" i="9"/>
  <c r="F4" i="9"/>
  <c r="E4" i="9"/>
  <c r="D4" i="9"/>
  <c r="D5" i="9" s="1"/>
  <c r="C4" i="9"/>
  <c r="C5" i="9" s="1"/>
  <c r="B4" i="9"/>
  <c r="G19" i="8"/>
  <c r="F19" i="8"/>
  <c r="E19" i="8"/>
  <c r="D19" i="8"/>
  <c r="B19" i="8"/>
  <c r="G18" i="8"/>
  <c r="G20" i="1" s="1"/>
  <c r="F18" i="8"/>
  <c r="C18" i="8"/>
  <c r="B18" i="8"/>
  <c r="E17" i="8"/>
  <c r="D17" i="8"/>
  <c r="G16" i="8"/>
  <c r="F16" i="8"/>
  <c r="D16" i="8"/>
  <c r="C16" i="8"/>
  <c r="C17" i="1" s="1"/>
  <c r="B16" i="8"/>
  <c r="G15" i="8"/>
  <c r="F15" i="8"/>
  <c r="D15" i="8"/>
  <c r="C15" i="8"/>
  <c r="B15" i="8"/>
  <c r="G14" i="8"/>
  <c r="F14" i="8"/>
  <c r="F15" i="1" s="1"/>
  <c r="C14" i="8"/>
  <c r="F13" i="8"/>
  <c r="G12" i="8"/>
  <c r="F12" i="8"/>
  <c r="G11" i="8"/>
  <c r="F11" i="8"/>
  <c r="E11" i="8"/>
  <c r="G10" i="8"/>
  <c r="G20" i="8" s="1"/>
  <c r="F10" i="8"/>
  <c r="F6" i="8"/>
  <c r="G4" i="8"/>
  <c r="F4" i="8"/>
  <c r="F7" i="8" s="1"/>
  <c r="D4" i="8"/>
  <c r="D48" i="7"/>
  <c r="B46" i="7"/>
  <c r="H43" i="7"/>
  <c r="G43" i="7"/>
  <c r="F43" i="7"/>
  <c r="E43" i="7"/>
  <c r="D43" i="7"/>
  <c r="C43" i="7"/>
  <c r="B42" i="7"/>
  <c r="H39" i="7"/>
  <c r="G39" i="7"/>
  <c r="F39" i="7"/>
  <c r="E39" i="7"/>
  <c r="D39" i="7"/>
  <c r="C39" i="7"/>
  <c r="B38" i="7"/>
  <c r="G35" i="7"/>
  <c r="F35" i="7"/>
  <c r="E35" i="7"/>
  <c r="D35" i="7"/>
  <c r="C35" i="7"/>
  <c r="B34" i="7"/>
  <c r="H33" i="7"/>
  <c r="H35" i="7" s="1"/>
  <c r="B33" i="7"/>
  <c r="H30" i="7"/>
  <c r="G30" i="7"/>
  <c r="F30" i="7"/>
  <c r="E30" i="7"/>
  <c r="D30" i="7"/>
  <c r="C30" i="7"/>
  <c r="B29" i="7"/>
  <c r="H26" i="7"/>
  <c r="G26" i="7"/>
  <c r="F25" i="7"/>
  <c r="F26" i="7" s="1"/>
  <c r="E25" i="7"/>
  <c r="E26" i="7" s="1"/>
  <c r="D25" i="7"/>
  <c r="D26" i="7" s="1"/>
  <c r="C25" i="7"/>
  <c r="C26" i="7" s="1"/>
  <c r="B25" i="7"/>
  <c r="G22" i="7"/>
  <c r="G48" i="7" s="1"/>
  <c r="F22" i="7"/>
  <c r="E22" i="7"/>
  <c r="D22" i="7"/>
  <c r="C22" i="7"/>
  <c r="C48" i="7" s="1"/>
  <c r="H21" i="7"/>
  <c r="B21" i="7"/>
  <c r="H20" i="7"/>
  <c r="H22" i="7" s="1"/>
  <c r="B20" i="7"/>
  <c r="G16" i="7"/>
  <c r="H14" i="7"/>
  <c r="G14" i="7"/>
  <c r="F13" i="7"/>
  <c r="D13" i="7"/>
  <c r="C13" i="7"/>
  <c r="B13" i="7"/>
  <c r="H12" i="7"/>
  <c r="F12" i="7"/>
  <c r="D12" i="7"/>
  <c r="D14" i="7" s="1"/>
  <c r="C12" i="7"/>
  <c r="C14" i="7" s="1"/>
  <c r="B12" i="7"/>
  <c r="F11" i="7"/>
  <c r="E11" i="7"/>
  <c r="D11" i="7"/>
  <c r="C11" i="7"/>
  <c r="B11" i="7"/>
  <c r="F10" i="7"/>
  <c r="F14" i="7" s="1"/>
  <c r="F16" i="7" s="1"/>
  <c r="E10" i="7"/>
  <c r="E14" i="7" s="1"/>
  <c r="D10" i="7"/>
  <c r="C10" i="7"/>
  <c r="B10" i="7"/>
  <c r="H6" i="7"/>
  <c r="H16" i="7" s="1"/>
  <c r="G6" i="7"/>
  <c r="F6" i="7"/>
  <c r="E6" i="7"/>
  <c r="E16" i="7" s="1"/>
  <c r="D6" i="7"/>
  <c r="C6" i="7"/>
  <c r="B5" i="7"/>
  <c r="H29" i="6"/>
  <c r="H31" i="6" s="1"/>
  <c r="G29" i="6"/>
  <c r="G31" i="6" s="1"/>
  <c r="F29" i="6"/>
  <c r="F28" i="6"/>
  <c r="E28" i="6"/>
  <c r="E29" i="6" s="1"/>
  <c r="E31" i="6" s="1"/>
  <c r="D28" i="6"/>
  <c r="D29" i="6" s="1"/>
  <c r="C28" i="6"/>
  <c r="C29" i="6" s="1"/>
  <c r="B28" i="6"/>
  <c r="H25" i="6"/>
  <c r="G25" i="6"/>
  <c r="C25" i="6"/>
  <c r="F24" i="6"/>
  <c r="F25" i="6" s="1"/>
  <c r="E24" i="6"/>
  <c r="D24" i="6"/>
  <c r="C24" i="6"/>
  <c r="B24" i="6"/>
  <c r="F23" i="6"/>
  <c r="E23" i="6"/>
  <c r="E25" i="6" s="1"/>
  <c r="D23" i="6"/>
  <c r="D25" i="6" s="1"/>
  <c r="C23" i="6"/>
  <c r="B23" i="6"/>
  <c r="H20" i="6"/>
  <c r="G20" i="6"/>
  <c r="F19" i="6"/>
  <c r="F20" i="6" s="1"/>
  <c r="E19" i="6"/>
  <c r="D19" i="6"/>
  <c r="C19" i="6"/>
  <c r="B19" i="6"/>
  <c r="F18" i="6"/>
  <c r="E18" i="6"/>
  <c r="E20" i="6" s="1"/>
  <c r="D18" i="6"/>
  <c r="D20" i="6" s="1"/>
  <c r="C18" i="6"/>
  <c r="C20" i="6" s="1"/>
  <c r="B18" i="6"/>
  <c r="H12" i="6"/>
  <c r="H14" i="6" s="1"/>
  <c r="G12" i="6"/>
  <c r="F11" i="6"/>
  <c r="E11" i="6"/>
  <c r="D11" i="6"/>
  <c r="D12" i="6" s="1"/>
  <c r="D14" i="6" s="1"/>
  <c r="C11" i="6"/>
  <c r="B11" i="6"/>
  <c r="F10" i="6"/>
  <c r="E10" i="6"/>
  <c r="D10" i="6"/>
  <c r="C10" i="6"/>
  <c r="B10" i="6"/>
  <c r="F9" i="6"/>
  <c r="F12" i="6" s="1"/>
  <c r="E9" i="6"/>
  <c r="E12" i="6" s="1"/>
  <c r="D9" i="6"/>
  <c r="C9" i="6"/>
  <c r="C12" i="6" s="1"/>
  <c r="C14" i="6" s="1"/>
  <c r="B9" i="6"/>
  <c r="H6" i="6"/>
  <c r="G6" i="6"/>
  <c r="G14" i="6" s="1"/>
  <c r="F6" i="6"/>
  <c r="F14" i="6" s="1"/>
  <c r="E6" i="6"/>
  <c r="D6" i="6"/>
  <c r="C6" i="6"/>
  <c r="F16" i="5"/>
  <c r="H14" i="5"/>
  <c r="H16" i="5" s="1"/>
  <c r="G14" i="5"/>
  <c r="G16" i="5" s="1"/>
  <c r="F14" i="5"/>
  <c r="F13" i="5"/>
  <c r="E13" i="5"/>
  <c r="E14" i="5" s="1"/>
  <c r="E16" i="5" s="1"/>
  <c r="D13" i="5"/>
  <c r="D14" i="5" s="1"/>
  <c r="D16" i="5" s="1"/>
  <c r="C13" i="5"/>
  <c r="C14" i="5" s="1"/>
  <c r="C16" i="5" s="1"/>
  <c r="B13" i="5"/>
  <c r="H7" i="5"/>
  <c r="H9" i="5" s="1"/>
  <c r="H18" i="5" s="1"/>
  <c r="G7" i="5"/>
  <c r="G9" i="5" s="1"/>
  <c r="F6" i="5"/>
  <c r="E6" i="5"/>
  <c r="D6" i="5"/>
  <c r="D7" i="5" s="1"/>
  <c r="D9" i="5" s="1"/>
  <c r="D18" i="5" s="1"/>
  <c r="C6" i="5"/>
  <c r="B6" i="5"/>
  <c r="F5" i="5"/>
  <c r="F7" i="5" s="1"/>
  <c r="F9" i="5" s="1"/>
  <c r="F18" i="5" s="1"/>
  <c r="E5" i="5"/>
  <c r="D5" i="5"/>
  <c r="C5" i="5"/>
  <c r="C7" i="5" s="1"/>
  <c r="C9" i="5" s="1"/>
  <c r="C18" i="5" s="1"/>
  <c r="B5" i="5"/>
  <c r="H50" i="4"/>
  <c r="G50" i="4"/>
  <c r="D50" i="4"/>
  <c r="F49" i="4"/>
  <c r="E49" i="4"/>
  <c r="D49" i="4"/>
  <c r="C49" i="4"/>
  <c r="B49" i="4"/>
  <c r="F48" i="4"/>
  <c r="F50" i="4" s="1"/>
  <c r="E48" i="4"/>
  <c r="E50" i="4" s="1"/>
  <c r="E52" i="4" s="1"/>
  <c r="D48" i="4"/>
  <c r="C48" i="4"/>
  <c r="C50" i="4" s="1"/>
  <c r="B48" i="4"/>
  <c r="H46" i="4"/>
  <c r="G46" i="4"/>
  <c r="F46" i="4"/>
  <c r="E46" i="4"/>
  <c r="D46" i="4"/>
  <c r="C46" i="4"/>
  <c r="F45" i="4"/>
  <c r="E45" i="4"/>
  <c r="D45" i="4"/>
  <c r="C45" i="4"/>
  <c r="B45" i="4"/>
  <c r="H42" i="4"/>
  <c r="G42" i="4"/>
  <c r="G52" i="4" s="1"/>
  <c r="F42" i="4"/>
  <c r="F41" i="4"/>
  <c r="E41" i="4"/>
  <c r="E42" i="4" s="1"/>
  <c r="D41" i="4"/>
  <c r="D42" i="4" s="1"/>
  <c r="C16" i="1" s="1"/>
  <c r="C41" i="4"/>
  <c r="C42" i="4" s="1"/>
  <c r="B16" i="1" s="1"/>
  <c r="B41" i="4"/>
  <c r="G38" i="4"/>
  <c r="H37" i="4"/>
  <c r="H38" i="4" s="1"/>
  <c r="F37" i="4"/>
  <c r="E37" i="4"/>
  <c r="D37" i="4"/>
  <c r="C37" i="4"/>
  <c r="B37" i="4"/>
  <c r="F36" i="4"/>
  <c r="E36" i="4"/>
  <c r="D36" i="4"/>
  <c r="C36" i="4"/>
  <c r="B36" i="4"/>
  <c r="F35" i="4"/>
  <c r="E35" i="4"/>
  <c r="D35" i="4"/>
  <c r="C35" i="4"/>
  <c r="B35" i="4"/>
  <c r="F34" i="4"/>
  <c r="E34" i="4"/>
  <c r="D34" i="4"/>
  <c r="C34" i="4"/>
  <c r="B34" i="4"/>
  <c r="F33" i="4"/>
  <c r="E33" i="4"/>
  <c r="D33" i="4"/>
  <c r="C33" i="4"/>
  <c r="C38" i="4" s="1"/>
  <c r="B33" i="4"/>
  <c r="F32" i="4"/>
  <c r="E32" i="4"/>
  <c r="D32" i="4"/>
  <c r="C32" i="4"/>
  <c r="B32" i="4"/>
  <c r="F31" i="4"/>
  <c r="E31" i="4"/>
  <c r="E38" i="4" s="1"/>
  <c r="D31" i="4"/>
  <c r="C31" i="4"/>
  <c r="B31" i="4"/>
  <c r="H28" i="4"/>
  <c r="G28" i="4"/>
  <c r="F28" i="4"/>
  <c r="E28" i="4"/>
  <c r="D28" i="4"/>
  <c r="C28" i="4"/>
  <c r="F27" i="4"/>
  <c r="E27" i="4"/>
  <c r="D27" i="4"/>
  <c r="C27" i="4"/>
  <c r="B27" i="4"/>
  <c r="H24" i="4"/>
  <c r="G24" i="4"/>
  <c r="F24" i="4"/>
  <c r="F23" i="4"/>
  <c r="E23" i="4"/>
  <c r="E24" i="4" s="1"/>
  <c r="D23" i="4"/>
  <c r="D24" i="4" s="1"/>
  <c r="C23" i="4"/>
  <c r="C24" i="4" s="1"/>
  <c r="B23" i="4"/>
  <c r="G20" i="4"/>
  <c r="C20" i="4"/>
  <c r="F19" i="4"/>
  <c r="F20" i="4" s="1"/>
  <c r="E19" i="4"/>
  <c r="D19" i="4"/>
  <c r="C19" i="4"/>
  <c r="B19" i="4"/>
  <c r="F18" i="4"/>
  <c r="E18" i="4"/>
  <c r="D18" i="4"/>
  <c r="D20" i="4" s="1"/>
  <c r="C18" i="4"/>
  <c r="B18" i="4"/>
  <c r="H17" i="4"/>
  <c r="H20" i="4" s="1"/>
  <c r="F17" i="4"/>
  <c r="E17" i="4"/>
  <c r="E20" i="4" s="1"/>
  <c r="D17" i="4"/>
  <c r="C17" i="4"/>
  <c r="B17" i="4"/>
  <c r="H13" i="4"/>
  <c r="H11" i="4"/>
  <c r="G11" i="4"/>
  <c r="F11" i="4"/>
  <c r="F13" i="4" s="1"/>
  <c r="E11" i="4"/>
  <c r="E13" i="4" s="1"/>
  <c r="F10" i="4"/>
  <c r="E10" i="4"/>
  <c r="D10" i="4"/>
  <c r="C10" i="4"/>
  <c r="B10" i="4"/>
  <c r="F9" i="4"/>
  <c r="E9" i="4"/>
  <c r="D9" i="4"/>
  <c r="D11" i="4" s="1"/>
  <c r="C9" i="4"/>
  <c r="B9" i="4"/>
  <c r="H6" i="4"/>
  <c r="G6" i="4"/>
  <c r="F6" i="4"/>
  <c r="E6" i="4"/>
  <c r="F5" i="4"/>
  <c r="E5" i="4"/>
  <c r="D5" i="4"/>
  <c r="D6" i="4" s="1"/>
  <c r="C5" i="4"/>
  <c r="C6" i="4" s="1"/>
  <c r="B5" i="4"/>
  <c r="H27" i="3"/>
  <c r="G27" i="3"/>
  <c r="H25" i="3"/>
  <c r="G25" i="3"/>
  <c r="E25" i="3"/>
  <c r="F24" i="3"/>
  <c r="E24" i="3"/>
  <c r="D24" i="3"/>
  <c r="C24" i="3"/>
  <c r="B24" i="3"/>
  <c r="F23" i="3"/>
  <c r="F25" i="3" s="1"/>
  <c r="E18" i="1" s="1"/>
  <c r="E23" i="3"/>
  <c r="D23" i="3"/>
  <c r="C23" i="3"/>
  <c r="B23" i="3"/>
  <c r="F22" i="3"/>
  <c r="E22" i="3"/>
  <c r="D22" i="3"/>
  <c r="D25" i="3" s="1"/>
  <c r="C22" i="3"/>
  <c r="C25" i="3" s="1"/>
  <c r="B22" i="3"/>
  <c r="H17" i="3"/>
  <c r="G17" i="3"/>
  <c r="D17" i="3"/>
  <c r="C17" i="3"/>
  <c r="F16" i="3"/>
  <c r="F17" i="3" s="1"/>
  <c r="E16" i="3"/>
  <c r="E17" i="3" s="1"/>
  <c r="D16" i="3"/>
  <c r="C16" i="3"/>
  <c r="B16" i="3"/>
  <c r="H13" i="3"/>
  <c r="G13" i="3"/>
  <c r="E13" i="3"/>
  <c r="E27" i="3" s="1"/>
  <c r="E29" i="3" s="1"/>
  <c r="F12" i="3"/>
  <c r="E12" i="3"/>
  <c r="D12" i="3"/>
  <c r="C12" i="3"/>
  <c r="B12" i="3"/>
  <c r="F11" i="3"/>
  <c r="F13" i="3" s="1"/>
  <c r="E11" i="3"/>
  <c r="D11" i="3"/>
  <c r="C11" i="3"/>
  <c r="B11" i="3"/>
  <c r="F10" i="3"/>
  <c r="E10" i="3"/>
  <c r="D10" i="3"/>
  <c r="D13" i="3" s="1"/>
  <c r="D27" i="3" s="1"/>
  <c r="C10" i="3"/>
  <c r="C13" i="3" s="1"/>
  <c r="B10" i="3"/>
  <c r="H5" i="3"/>
  <c r="H29" i="3" s="1"/>
  <c r="G5" i="3"/>
  <c r="F5" i="3"/>
  <c r="E5" i="3"/>
  <c r="D5" i="3"/>
  <c r="D29" i="3" s="1"/>
  <c r="C5" i="3"/>
  <c r="H2" i="3"/>
  <c r="G2" i="3"/>
  <c r="F2" i="3"/>
  <c r="E2" i="3"/>
  <c r="D2" i="3"/>
  <c r="C2" i="3"/>
  <c r="H1" i="3"/>
  <c r="G1" i="3"/>
  <c r="F1" i="3"/>
  <c r="E1" i="3"/>
  <c r="D1" i="3"/>
  <c r="C1" i="3"/>
  <c r="F99" i="2"/>
  <c r="E99" i="2"/>
  <c r="D99" i="2"/>
  <c r="C99" i="2"/>
  <c r="B99" i="2"/>
  <c r="H96" i="2"/>
  <c r="G96" i="2"/>
  <c r="F96" i="2"/>
  <c r="E96" i="2"/>
  <c r="D20" i="1" s="1"/>
  <c r="F95" i="2"/>
  <c r="E95" i="2"/>
  <c r="D95" i="2"/>
  <c r="C95" i="2"/>
  <c r="B95" i="2"/>
  <c r="F94" i="2"/>
  <c r="E94" i="2"/>
  <c r="D94" i="2"/>
  <c r="C94" i="2"/>
  <c r="B94" i="2"/>
  <c r="F93" i="2"/>
  <c r="E93" i="2"/>
  <c r="D93" i="2"/>
  <c r="D96" i="2" s="1"/>
  <c r="C20" i="1" s="1"/>
  <c r="C93" i="2"/>
  <c r="C96" i="2" s="1"/>
  <c r="B93" i="2"/>
  <c r="H90" i="2"/>
  <c r="G90" i="2"/>
  <c r="F89" i="2"/>
  <c r="F90" i="2" s="1"/>
  <c r="E89" i="2"/>
  <c r="D89" i="2"/>
  <c r="C89" i="2"/>
  <c r="B89" i="2"/>
  <c r="F88" i="2"/>
  <c r="E88" i="2"/>
  <c r="E90" i="2" s="1"/>
  <c r="D18" i="1" s="1"/>
  <c r="D88" i="2"/>
  <c r="D90" i="2" s="1"/>
  <c r="C88" i="2"/>
  <c r="C90" i="2" s="1"/>
  <c r="B18" i="1" s="1"/>
  <c r="B88" i="2"/>
  <c r="H85" i="2"/>
  <c r="G85" i="2"/>
  <c r="D85" i="2"/>
  <c r="C85" i="2"/>
  <c r="F84" i="2"/>
  <c r="F85" i="2" s="1"/>
  <c r="E17" i="1" s="1"/>
  <c r="E84" i="2"/>
  <c r="E85" i="2" s="1"/>
  <c r="D84" i="2"/>
  <c r="C84" i="2"/>
  <c r="B84" i="2"/>
  <c r="H81" i="2"/>
  <c r="G81" i="2"/>
  <c r="F81" i="2"/>
  <c r="E81" i="2"/>
  <c r="D81" i="2"/>
  <c r="F80" i="2"/>
  <c r="E80" i="2"/>
  <c r="D80" i="2"/>
  <c r="C80" i="2"/>
  <c r="C81" i="2" s="1"/>
  <c r="B80" i="2"/>
  <c r="H77" i="2"/>
  <c r="G77" i="2"/>
  <c r="D77" i="2"/>
  <c r="H76" i="2"/>
  <c r="F76" i="2"/>
  <c r="F77" i="2" s="1"/>
  <c r="E76" i="2"/>
  <c r="E77" i="2" s="1"/>
  <c r="D15" i="1" s="1"/>
  <c r="D76" i="2"/>
  <c r="C76" i="2"/>
  <c r="C77" i="2" s="1"/>
  <c r="B76" i="2"/>
  <c r="H73" i="2"/>
  <c r="G73" i="2"/>
  <c r="F72" i="2"/>
  <c r="E72" i="2"/>
  <c r="D72" i="2"/>
  <c r="C72" i="2"/>
  <c r="B72" i="2"/>
  <c r="F71" i="2"/>
  <c r="E71" i="2"/>
  <c r="D71" i="2"/>
  <c r="C71" i="2"/>
  <c r="B71" i="2"/>
  <c r="F70" i="2"/>
  <c r="E70" i="2"/>
  <c r="D70" i="2"/>
  <c r="C70" i="2"/>
  <c r="B70" i="2"/>
  <c r="F69" i="2"/>
  <c r="E69" i="2"/>
  <c r="D69" i="2"/>
  <c r="C69" i="2"/>
  <c r="B69" i="2"/>
  <c r="F68" i="2"/>
  <c r="E68" i="2"/>
  <c r="D68" i="2"/>
  <c r="C68" i="2"/>
  <c r="B68" i="2"/>
  <c r="F67" i="2"/>
  <c r="E67" i="2"/>
  <c r="D67" i="2"/>
  <c r="C67" i="2"/>
  <c r="B67" i="2"/>
  <c r="F66" i="2"/>
  <c r="E66" i="2"/>
  <c r="D66" i="2"/>
  <c r="C66" i="2"/>
  <c r="B66" i="2"/>
  <c r="F65" i="2"/>
  <c r="E65" i="2"/>
  <c r="D65" i="2"/>
  <c r="D73" i="2" s="1"/>
  <c r="C65" i="2"/>
  <c r="B65" i="2"/>
  <c r="F64" i="2"/>
  <c r="E64" i="2"/>
  <c r="D64" i="2"/>
  <c r="C64" i="2"/>
  <c r="B64" i="2"/>
  <c r="F63" i="2"/>
  <c r="E63" i="2"/>
  <c r="E73" i="2" s="1"/>
  <c r="D63" i="2"/>
  <c r="C63" i="2"/>
  <c r="B63" i="2"/>
  <c r="F62" i="2"/>
  <c r="E62" i="2"/>
  <c r="D62" i="2"/>
  <c r="C62" i="2"/>
  <c r="B62" i="2"/>
  <c r="H59" i="2"/>
  <c r="G59" i="2"/>
  <c r="F58" i="2"/>
  <c r="E58" i="2"/>
  <c r="D58" i="2"/>
  <c r="C58" i="2"/>
  <c r="B58" i="2"/>
  <c r="F57" i="2"/>
  <c r="E57" i="2"/>
  <c r="D57" i="2"/>
  <c r="C57" i="2"/>
  <c r="B57" i="2"/>
  <c r="F56" i="2"/>
  <c r="E56" i="2"/>
  <c r="D56" i="2"/>
  <c r="C56" i="2"/>
  <c r="C59" i="2" s="1"/>
  <c r="B56" i="2"/>
  <c r="F55" i="2"/>
  <c r="F59" i="2" s="1"/>
  <c r="E55" i="2"/>
  <c r="D55" i="2"/>
  <c r="D59" i="2" s="1"/>
  <c r="C55" i="2"/>
  <c r="B55" i="2"/>
  <c r="G52" i="2"/>
  <c r="D52" i="2"/>
  <c r="F51" i="2"/>
  <c r="E51" i="2"/>
  <c r="D51" i="2"/>
  <c r="C51" i="2"/>
  <c r="B51" i="2"/>
  <c r="F50" i="2"/>
  <c r="E50" i="2"/>
  <c r="D50" i="2"/>
  <c r="C50" i="2"/>
  <c r="B50" i="2"/>
  <c r="H49" i="2"/>
  <c r="H52" i="2" s="1"/>
  <c r="F49" i="2"/>
  <c r="E49" i="2"/>
  <c r="D49" i="2"/>
  <c r="C49" i="2"/>
  <c r="C52" i="2" s="1"/>
  <c r="B49" i="2"/>
  <c r="F48" i="2"/>
  <c r="E48" i="2"/>
  <c r="D48" i="2"/>
  <c r="C48" i="2"/>
  <c r="B48" i="2"/>
  <c r="F47" i="2"/>
  <c r="E47" i="2"/>
  <c r="D47" i="2"/>
  <c r="C47" i="2"/>
  <c r="B47" i="2"/>
  <c r="F46" i="2"/>
  <c r="F52" i="2" s="1"/>
  <c r="E46" i="2"/>
  <c r="D46" i="2"/>
  <c r="C46" i="2"/>
  <c r="B46" i="2"/>
  <c r="G43" i="2"/>
  <c r="G101" i="2" s="1"/>
  <c r="H42" i="2"/>
  <c r="F42" i="2"/>
  <c r="E42" i="2"/>
  <c r="D42" i="2"/>
  <c r="C42" i="2"/>
  <c r="B42" i="2"/>
  <c r="H41" i="2"/>
  <c r="F41" i="2"/>
  <c r="E41" i="2"/>
  <c r="D41" i="2"/>
  <c r="C41" i="2"/>
  <c r="B41" i="2"/>
  <c r="H40" i="2"/>
  <c r="F40" i="2"/>
  <c r="E40" i="2"/>
  <c r="D40" i="2"/>
  <c r="C40" i="2"/>
  <c r="B40" i="2"/>
  <c r="H39" i="2"/>
  <c r="H43" i="2" s="1"/>
  <c r="F39" i="2"/>
  <c r="E39" i="2"/>
  <c r="D39" i="2"/>
  <c r="C39" i="2"/>
  <c r="B39" i="2"/>
  <c r="H38" i="2"/>
  <c r="F38" i="2"/>
  <c r="E38" i="2"/>
  <c r="D38" i="2"/>
  <c r="C38" i="2"/>
  <c r="B38" i="2"/>
  <c r="F37" i="2"/>
  <c r="E37" i="2"/>
  <c r="E43" i="2" s="1"/>
  <c r="D37" i="2"/>
  <c r="C37" i="2"/>
  <c r="C43" i="2" s="1"/>
  <c r="B37" i="2"/>
  <c r="H31" i="2"/>
  <c r="G31" i="2"/>
  <c r="F30" i="2"/>
  <c r="E30" i="2"/>
  <c r="D30" i="2"/>
  <c r="C30" i="2"/>
  <c r="B30" i="2"/>
  <c r="F29" i="2"/>
  <c r="E29" i="2"/>
  <c r="D29" i="2"/>
  <c r="C29" i="2"/>
  <c r="B29" i="2"/>
  <c r="F28" i="2"/>
  <c r="E28" i="2"/>
  <c r="D28" i="2"/>
  <c r="C28" i="2"/>
  <c r="B28" i="2"/>
  <c r="F27" i="2"/>
  <c r="E27" i="2"/>
  <c r="D27" i="2"/>
  <c r="C27" i="2"/>
  <c r="B27" i="2"/>
  <c r="F26" i="2"/>
  <c r="E26" i="2"/>
  <c r="D26" i="2"/>
  <c r="C26" i="2"/>
  <c r="B26" i="2"/>
  <c r="F25" i="2"/>
  <c r="E25" i="2"/>
  <c r="E31" i="2" s="1"/>
  <c r="D25" i="2"/>
  <c r="C25" i="2"/>
  <c r="B25" i="2"/>
  <c r="H22" i="2"/>
  <c r="G22" i="2"/>
  <c r="F21" i="2"/>
  <c r="E21" i="2"/>
  <c r="D21" i="2"/>
  <c r="C21" i="2"/>
  <c r="B21" i="2"/>
  <c r="F20" i="2"/>
  <c r="E20" i="2"/>
  <c r="D20" i="2"/>
  <c r="C20" i="2"/>
  <c r="B20" i="2"/>
  <c r="F19" i="2"/>
  <c r="E19" i="2"/>
  <c r="D19" i="2"/>
  <c r="C19" i="2"/>
  <c r="B19" i="2"/>
  <c r="F18" i="2"/>
  <c r="E18" i="2"/>
  <c r="D18" i="2"/>
  <c r="C18" i="2"/>
  <c r="B18" i="2"/>
  <c r="F17" i="2"/>
  <c r="E17" i="2"/>
  <c r="D17" i="2"/>
  <c r="C17" i="2"/>
  <c r="B17" i="2"/>
  <c r="F16" i="2"/>
  <c r="E16" i="2"/>
  <c r="D16" i="2"/>
  <c r="C16" i="2"/>
  <c r="B16" i="2"/>
  <c r="F15" i="2"/>
  <c r="E15" i="2"/>
  <c r="D15" i="2"/>
  <c r="C15" i="2"/>
  <c r="B15" i="2"/>
  <c r="F14" i="2"/>
  <c r="E14" i="2"/>
  <c r="D14" i="2"/>
  <c r="C14" i="2"/>
  <c r="B14" i="2"/>
  <c r="F13" i="2"/>
  <c r="E13" i="2"/>
  <c r="D13" i="2"/>
  <c r="C13" i="2"/>
  <c r="B13" i="2"/>
  <c r="F12" i="2"/>
  <c r="E12" i="2"/>
  <c r="D12" i="2"/>
  <c r="C12" i="2"/>
  <c r="B12" i="2"/>
  <c r="F11" i="2"/>
  <c r="E11" i="2"/>
  <c r="D11" i="2"/>
  <c r="C11" i="2"/>
  <c r="B11" i="2"/>
  <c r="F10" i="2"/>
  <c r="E10" i="2"/>
  <c r="D10" i="2"/>
  <c r="C10" i="2"/>
  <c r="B10" i="2"/>
  <c r="F9" i="2"/>
  <c r="E9" i="2"/>
  <c r="D9" i="2"/>
  <c r="D22" i="2" s="1"/>
  <c r="C9" i="2"/>
  <c r="C22" i="2" s="1"/>
  <c r="B9" i="2"/>
  <c r="H6" i="2"/>
  <c r="G6" i="2"/>
  <c r="D6" i="2"/>
  <c r="C6" i="2"/>
  <c r="F5" i="2"/>
  <c r="F6" i="2" s="1"/>
  <c r="E5" i="2"/>
  <c r="E6" i="2" s="1"/>
  <c r="D5" i="2"/>
  <c r="C5" i="2"/>
  <c r="B5" i="2"/>
  <c r="H2" i="2"/>
  <c r="G2" i="2"/>
  <c r="F2" i="2"/>
  <c r="E2" i="2"/>
  <c r="D2" i="2"/>
  <c r="C2" i="2"/>
  <c r="H1" i="2"/>
  <c r="G1" i="2"/>
  <c r="F1" i="2"/>
  <c r="E1" i="2"/>
  <c r="D1" i="2"/>
  <c r="C1" i="2"/>
  <c r="G21" i="1"/>
  <c r="F21" i="1"/>
  <c r="E21" i="1"/>
  <c r="F20" i="1"/>
  <c r="G19" i="1"/>
  <c r="F19" i="1"/>
  <c r="E19" i="1"/>
  <c r="D19" i="1"/>
  <c r="C19" i="1"/>
  <c r="B19" i="1"/>
  <c r="G18" i="1"/>
  <c r="F18" i="1"/>
  <c r="C18" i="1"/>
  <c r="G17" i="1"/>
  <c r="F17" i="1"/>
  <c r="B17" i="1"/>
  <c r="G16" i="1"/>
  <c r="F16" i="1"/>
  <c r="G15" i="1"/>
  <c r="E15" i="1"/>
  <c r="C15" i="1"/>
  <c r="B15" i="1"/>
  <c r="F14" i="1"/>
  <c r="G13" i="1"/>
  <c r="F13" i="1"/>
  <c r="G12" i="1"/>
  <c r="F12" i="1"/>
  <c r="F7" i="1"/>
  <c r="G6" i="1"/>
  <c r="F6" i="1"/>
  <c r="E6" i="1"/>
  <c r="D6" i="1"/>
  <c r="C6" i="1"/>
  <c r="B6" i="1"/>
  <c r="F4" i="1"/>
  <c r="D10" i="8" l="1"/>
  <c r="E57" i="9"/>
  <c r="C32" i="17"/>
  <c r="C34" i="17" s="1"/>
  <c r="G7" i="1"/>
  <c r="F27" i="3"/>
  <c r="F29" i="3" s="1"/>
  <c r="E50" i="7"/>
  <c r="E4" i="1"/>
  <c r="H101" i="2"/>
  <c r="C33" i="6"/>
  <c r="D24" i="10"/>
  <c r="E22" i="2"/>
  <c r="G33" i="2"/>
  <c r="G103" i="2" s="1"/>
  <c r="F73" i="2"/>
  <c r="E20" i="1"/>
  <c r="C11" i="4"/>
  <c r="C13" i="4" s="1"/>
  <c r="C53" i="4" s="1"/>
  <c r="H52" i="4"/>
  <c r="H53" i="4" s="1"/>
  <c r="E7" i="5"/>
  <c r="E9" i="5" s="1"/>
  <c r="E18" i="5" s="1"/>
  <c r="C31" i="6"/>
  <c r="E48" i="7"/>
  <c r="C57" i="9"/>
  <c r="E15" i="8"/>
  <c r="E16" i="1" s="1"/>
  <c r="F49" i="9"/>
  <c r="F57" i="9" s="1"/>
  <c r="F55" i="12"/>
  <c r="C32" i="19"/>
  <c r="D42" i="24"/>
  <c r="H33" i="2"/>
  <c r="H103" i="2" s="1"/>
  <c r="D31" i="2"/>
  <c r="C7" i="1" s="1"/>
  <c r="D43" i="2"/>
  <c r="E59" i="2"/>
  <c r="D13" i="4"/>
  <c r="E53" i="4"/>
  <c r="G33" i="6"/>
  <c r="D31" i="6"/>
  <c r="D33" i="6" s="1"/>
  <c r="G50" i="7"/>
  <c r="F48" i="7"/>
  <c r="F50" i="7" s="1"/>
  <c r="F41" i="9"/>
  <c r="E13" i="8" s="1"/>
  <c r="C38" i="15"/>
  <c r="C16" i="7"/>
  <c r="C50" i="7" s="1"/>
  <c r="F80" i="10"/>
  <c r="E80" i="10"/>
  <c r="E82" i="10" s="1"/>
  <c r="B4" i="14"/>
  <c r="B7" i="14" s="1"/>
  <c r="B5" i="14"/>
  <c r="C12" i="15"/>
  <c r="D10" i="21"/>
  <c r="E48" i="22"/>
  <c r="H24" i="22"/>
  <c r="E33" i="2"/>
  <c r="F31" i="2"/>
  <c r="F43" i="2"/>
  <c r="G29" i="3"/>
  <c r="G13" i="4"/>
  <c r="G53" i="4" s="1"/>
  <c r="H33" i="6"/>
  <c r="F31" i="6"/>
  <c r="F33" i="6" s="1"/>
  <c r="D16" i="7"/>
  <c r="D50" i="7" s="1"/>
  <c r="H48" i="7"/>
  <c r="F21" i="9"/>
  <c r="E4" i="8"/>
  <c r="E19" i="9"/>
  <c r="E10" i="8"/>
  <c r="C24" i="10"/>
  <c r="D5" i="8"/>
  <c r="C14" i="22"/>
  <c r="C50" i="22" s="1"/>
  <c r="B4" i="21"/>
  <c r="B7" i="21" s="1"/>
  <c r="C5" i="8"/>
  <c r="C5" i="1" s="1"/>
  <c r="E6" i="8"/>
  <c r="F19" i="10"/>
  <c r="F24" i="10" s="1"/>
  <c r="F82" i="10" s="1"/>
  <c r="F33" i="18"/>
  <c r="E101" i="2"/>
  <c r="C31" i="2"/>
  <c r="B7" i="1" s="1"/>
  <c r="C73" i="2"/>
  <c r="C52" i="4"/>
  <c r="F20" i="8"/>
  <c r="H21" i="9"/>
  <c r="H59" i="9" s="1"/>
  <c r="D21" i="9"/>
  <c r="E24" i="11"/>
  <c r="C5" i="14"/>
  <c r="D8" i="16"/>
  <c r="F21" i="27"/>
  <c r="F22" i="2"/>
  <c r="F22" i="8"/>
  <c r="B4" i="8"/>
  <c r="C21" i="9"/>
  <c r="C59" i="9" s="1"/>
  <c r="H19" i="9"/>
  <c r="G6" i="8" s="1"/>
  <c r="F30" i="19"/>
  <c r="D33" i="2"/>
  <c r="C27" i="3"/>
  <c r="E52" i="2"/>
  <c r="C29" i="3"/>
  <c r="F38" i="4"/>
  <c r="F52" i="4" s="1"/>
  <c r="F53" i="4" s="1"/>
  <c r="D38" i="4"/>
  <c r="D52" i="4" s="1"/>
  <c r="G18" i="5"/>
  <c r="E14" i="6"/>
  <c r="E33" i="6" s="1"/>
  <c r="H50" i="7"/>
  <c r="C4" i="8"/>
  <c r="G5" i="8"/>
  <c r="G5" i="1" s="1"/>
  <c r="D41" i="9"/>
  <c r="H24" i="10"/>
  <c r="H82" i="10" s="1"/>
  <c r="E27" i="13"/>
  <c r="E29" i="13" s="1"/>
  <c r="C11" i="14"/>
  <c r="C12" i="1" s="1"/>
  <c r="B11" i="14"/>
  <c r="D34" i="10"/>
  <c r="D80" i="10" s="1"/>
  <c r="F22" i="11"/>
  <c r="E63" i="11"/>
  <c r="H55" i="12"/>
  <c r="H57" i="12" s="1"/>
  <c r="C15" i="13"/>
  <c r="C29" i="13" s="1"/>
  <c r="E5" i="14"/>
  <c r="F12" i="15"/>
  <c r="E4" i="14"/>
  <c r="E7" i="14" s="1"/>
  <c r="G6" i="14"/>
  <c r="H12" i="15"/>
  <c r="E32" i="16"/>
  <c r="D12" i="20"/>
  <c r="D14" i="20" s="1"/>
  <c r="D36" i="20" s="1"/>
  <c r="B10" i="21"/>
  <c r="C48" i="22"/>
  <c r="B12" i="21"/>
  <c r="C54" i="27"/>
  <c r="F54" i="27"/>
  <c r="F69" i="27" s="1"/>
  <c r="D54" i="27"/>
  <c r="D69" i="27" s="1"/>
  <c r="E14" i="28"/>
  <c r="E60" i="28" s="1"/>
  <c r="C49" i="10"/>
  <c r="B11" i="8" s="1"/>
  <c r="B12" i="1" s="1"/>
  <c r="C66" i="10"/>
  <c r="B13" i="8" s="1"/>
  <c r="F15" i="11"/>
  <c r="C52" i="11"/>
  <c r="C63" i="11" s="1"/>
  <c r="G12" i="15"/>
  <c r="G40" i="15" s="1"/>
  <c r="F5" i="14"/>
  <c r="F5" i="1" s="1"/>
  <c r="F8" i="1" s="1"/>
  <c r="C14" i="16"/>
  <c r="C34" i="16" s="1"/>
  <c r="D33" i="18"/>
  <c r="D35" i="18" s="1"/>
  <c r="E14" i="20"/>
  <c r="E36" i="20" s="1"/>
  <c r="G36" i="20"/>
  <c r="G4" i="21"/>
  <c r="G7" i="21" s="1"/>
  <c r="E17" i="23"/>
  <c r="D13" i="21" s="1"/>
  <c r="C4" i="21"/>
  <c r="C7" i="21" s="1"/>
  <c r="D8" i="24"/>
  <c r="D44" i="24" s="1"/>
  <c r="F25" i="25"/>
  <c r="F66" i="10"/>
  <c r="D40" i="12"/>
  <c r="D55" i="12" s="1"/>
  <c r="D57" i="12" s="1"/>
  <c r="F13" i="13"/>
  <c r="F15" i="13" s="1"/>
  <c r="F29" i="13" s="1"/>
  <c r="G7" i="14"/>
  <c r="C10" i="14"/>
  <c r="D38" i="15"/>
  <c r="E11" i="14"/>
  <c r="E12" i="1" s="1"/>
  <c r="E36" i="15"/>
  <c r="E35" i="18"/>
  <c r="F35" i="18"/>
  <c r="E13" i="21"/>
  <c r="C41" i="26"/>
  <c r="C42" i="26" s="1"/>
  <c r="D58" i="28"/>
  <c r="H58" i="28"/>
  <c r="H60" i="28" s="1"/>
  <c r="C42" i="10"/>
  <c r="B12" i="8" s="1"/>
  <c r="B13" i="1" s="1"/>
  <c r="D37" i="11"/>
  <c r="D63" i="11" s="1"/>
  <c r="D65" i="11" s="1"/>
  <c r="E40" i="12"/>
  <c r="E55" i="12" s="1"/>
  <c r="F27" i="13"/>
  <c r="F20" i="14"/>
  <c r="D5" i="14"/>
  <c r="E12" i="15"/>
  <c r="D4" i="14"/>
  <c r="D12" i="14"/>
  <c r="B13" i="14"/>
  <c r="H36" i="16"/>
  <c r="E32" i="17"/>
  <c r="E34" i="17" s="1"/>
  <c r="F16" i="19"/>
  <c r="E14" i="19"/>
  <c r="E16" i="19" s="1"/>
  <c r="E32" i="19" s="1"/>
  <c r="H36" i="20"/>
  <c r="F14" i="22"/>
  <c r="G82" i="10"/>
  <c r="C15" i="11"/>
  <c r="B5" i="8" s="1"/>
  <c r="E19" i="12"/>
  <c r="E57" i="12" s="1"/>
  <c r="C55" i="12"/>
  <c r="C57" i="12" s="1"/>
  <c r="F40" i="12"/>
  <c r="F18" i="15"/>
  <c r="E12" i="14"/>
  <c r="C13" i="14"/>
  <c r="C36" i="16"/>
  <c r="C30" i="19"/>
  <c r="F34" i="20"/>
  <c r="F36" i="20" s="1"/>
  <c r="E12" i="21"/>
  <c r="E58" i="28"/>
  <c r="C34" i="10"/>
  <c r="B10" i="8" s="1"/>
  <c r="F24" i="11"/>
  <c r="F37" i="11"/>
  <c r="F63" i="11" s="1"/>
  <c r="F19" i="12"/>
  <c r="F57" i="12" s="1"/>
  <c r="H29" i="13"/>
  <c r="C4" i="14"/>
  <c r="G36" i="16"/>
  <c r="D19" i="16"/>
  <c r="D34" i="16" s="1"/>
  <c r="H32" i="17"/>
  <c r="H34" i="17" s="1"/>
  <c r="G13" i="14"/>
  <c r="G20" i="14" s="1"/>
  <c r="H35" i="18"/>
  <c r="G35" i="18"/>
  <c r="C10" i="21"/>
  <c r="E19" i="23"/>
  <c r="H69" i="27"/>
  <c r="E14" i="16"/>
  <c r="E34" i="16" s="1"/>
  <c r="E36" i="16" s="1"/>
  <c r="E4" i="21"/>
  <c r="E7" i="21" s="1"/>
  <c r="G14" i="22"/>
  <c r="G50" i="22" s="1"/>
  <c r="E30" i="24"/>
  <c r="E12" i="28"/>
  <c r="D5" i="21" s="1"/>
  <c r="E25" i="30"/>
  <c r="H27" i="31"/>
  <c r="G27" i="31"/>
  <c r="F14" i="16"/>
  <c r="C30" i="17"/>
  <c r="D22" i="19"/>
  <c r="D30" i="19" s="1"/>
  <c r="D32" i="19" s="1"/>
  <c r="F10" i="21"/>
  <c r="C5" i="21"/>
  <c r="D30" i="22"/>
  <c r="C12" i="21" s="1"/>
  <c r="F11" i="23"/>
  <c r="F17" i="23" s="1"/>
  <c r="F19" i="23" s="1"/>
  <c r="F27" i="25"/>
  <c r="D23" i="25"/>
  <c r="D25" i="25" s="1"/>
  <c r="D27" i="25" s="1"/>
  <c r="F41" i="26"/>
  <c r="F42" i="26" s="1"/>
  <c r="C39" i="26"/>
  <c r="B18" i="21"/>
  <c r="B20" i="1" s="1"/>
  <c r="H71" i="27"/>
  <c r="D15" i="27"/>
  <c r="D21" i="27" s="1"/>
  <c r="D14" i="28"/>
  <c r="D60" i="28" s="1"/>
  <c r="D38" i="29"/>
  <c r="F36" i="29"/>
  <c r="F38" i="29" s="1"/>
  <c r="D25" i="30"/>
  <c r="G25" i="30"/>
  <c r="D12" i="15"/>
  <c r="D40" i="15" s="1"/>
  <c r="H33" i="18"/>
  <c r="C27" i="18"/>
  <c r="C33" i="18" s="1"/>
  <c r="C35" i="18" s="1"/>
  <c r="E14" i="22"/>
  <c r="D4" i="21"/>
  <c r="D40" i="22"/>
  <c r="C19" i="21"/>
  <c r="C21" i="1" s="1"/>
  <c r="G19" i="23"/>
  <c r="F42" i="24"/>
  <c r="F44" i="24" s="1"/>
  <c r="D11" i="21"/>
  <c r="H27" i="25"/>
  <c r="G25" i="25"/>
  <c r="G27" i="25" s="1"/>
  <c r="E34" i="26"/>
  <c r="D15" i="21"/>
  <c r="D17" i="1" s="1"/>
  <c r="C21" i="27"/>
  <c r="E42" i="27"/>
  <c r="E69" i="27" s="1"/>
  <c r="E38" i="29"/>
  <c r="C25" i="30"/>
  <c r="D25" i="31"/>
  <c r="D27" i="31" s="1"/>
  <c r="H38" i="15"/>
  <c r="D30" i="20"/>
  <c r="D14" i="21"/>
  <c r="D16" i="1" s="1"/>
  <c r="E34" i="24"/>
  <c r="D40" i="24"/>
  <c r="F58" i="28"/>
  <c r="F60" i="28" s="1"/>
  <c r="G38" i="29"/>
  <c r="F27" i="31"/>
  <c r="E25" i="31"/>
  <c r="E27" i="31" s="1"/>
  <c r="E19" i="16"/>
  <c r="D11" i="14" s="1"/>
  <c r="D25" i="20"/>
  <c r="D34" i="20" s="1"/>
  <c r="F24" i="22"/>
  <c r="C11" i="23"/>
  <c r="C17" i="23" s="1"/>
  <c r="C19" i="23" s="1"/>
  <c r="E14" i="24"/>
  <c r="E42" i="24" s="1"/>
  <c r="E44" i="24" s="1"/>
  <c r="C30" i="24"/>
  <c r="B13" i="21" s="1"/>
  <c r="E21" i="27"/>
  <c r="H38" i="29"/>
  <c r="C36" i="29"/>
  <c r="C38" i="29" s="1"/>
  <c r="F19" i="16"/>
  <c r="H23" i="22"/>
  <c r="H20" i="22"/>
  <c r="D19" i="23"/>
  <c r="G42" i="24"/>
  <c r="G44" i="24" s="1"/>
  <c r="D41" i="26"/>
  <c r="D42" i="26" s="1"/>
  <c r="E41" i="26"/>
  <c r="E42" i="26" s="1"/>
  <c r="C31" i="27"/>
  <c r="C60" i="28"/>
  <c r="B20" i="8" l="1"/>
  <c r="E20" i="8"/>
  <c r="C20" i="14"/>
  <c r="C13" i="21"/>
  <c r="D48" i="22"/>
  <c r="D50" i="22" s="1"/>
  <c r="D12" i="21"/>
  <c r="D20" i="21" s="1"/>
  <c r="G22" i="14"/>
  <c r="E10" i="14"/>
  <c r="E20" i="14" s="1"/>
  <c r="E22" i="14" s="1"/>
  <c r="F38" i="15"/>
  <c r="D53" i="4"/>
  <c r="C40" i="15"/>
  <c r="E12" i="8"/>
  <c r="E13" i="1" s="1"/>
  <c r="D13" i="1"/>
  <c r="E14" i="1"/>
  <c r="B5" i="1"/>
  <c r="F48" i="22"/>
  <c r="E10" i="21"/>
  <c r="E20" i="21" s="1"/>
  <c r="E22" i="21" s="1"/>
  <c r="F34" i="16"/>
  <c r="F36" i="16" s="1"/>
  <c r="C24" i="11"/>
  <c r="C65" i="11" s="1"/>
  <c r="F40" i="15"/>
  <c r="C7" i="8"/>
  <c r="C4" i="1"/>
  <c r="C8" i="1" s="1"/>
  <c r="D12" i="1"/>
  <c r="F71" i="27"/>
  <c r="F59" i="9"/>
  <c r="E7" i="1"/>
  <c r="C10" i="8"/>
  <c r="C20" i="8" s="1"/>
  <c r="D101" i="2"/>
  <c r="D103" i="2" s="1"/>
  <c r="C12" i="8"/>
  <c r="C13" i="1" s="1"/>
  <c r="G14" i="1"/>
  <c r="B7" i="8"/>
  <c r="B22" i="8" s="1"/>
  <c r="B4" i="1"/>
  <c r="B8" i="1" s="1"/>
  <c r="B10" i="14"/>
  <c r="B20" i="14" s="1"/>
  <c r="E71" i="27"/>
  <c r="F20" i="21"/>
  <c r="F22" i="21" s="1"/>
  <c r="F11" i="1"/>
  <c r="F22" i="1" s="1"/>
  <c r="F24" i="1" s="1"/>
  <c r="C80" i="10"/>
  <c r="D7" i="21"/>
  <c r="C20" i="21"/>
  <c r="C22" i="21" s="1"/>
  <c r="F50" i="22"/>
  <c r="D10" i="14"/>
  <c r="C13" i="8"/>
  <c r="D57" i="9"/>
  <c r="D59" i="9"/>
  <c r="D82" i="10"/>
  <c r="E50" i="22"/>
  <c r="C7" i="14"/>
  <c r="C22" i="14" s="1"/>
  <c r="D7" i="14"/>
  <c r="D4" i="1"/>
  <c r="C33" i="2"/>
  <c r="F101" i="2"/>
  <c r="F33" i="2"/>
  <c r="C69" i="27"/>
  <c r="C71" i="27" s="1"/>
  <c r="D71" i="27"/>
  <c r="F32" i="19"/>
  <c r="D13" i="14"/>
  <c r="D14" i="1" s="1"/>
  <c r="E38" i="15"/>
  <c r="E40" i="15" s="1"/>
  <c r="G7" i="8"/>
  <c r="G22" i="8" s="1"/>
  <c r="D7" i="8"/>
  <c r="E103" i="2"/>
  <c r="B22" i="14"/>
  <c r="D5" i="1"/>
  <c r="G4" i="1"/>
  <c r="G8" i="1" s="1"/>
  <c r="B20" i="21"/>
  <c r="B22" i="21" s="1"/>
  <c r="D36" i="16"/>
  <c r="B14" i="1"/>
  <c r="C82" i="10"/>
  <c r="H48" i="22"/>
  <c r="H50" i="22" s="1"/>
  <c r="G10" i="21"/>
  <c r="F7" i="14"/>
  <c r="F22" i="14" s="1"/>
  <c r="E5" i="8"/>
  <c r="E7" i="8" s="1"/>
  <c r="E22" i="8" s="1"/>
  <c r="C101" i="2"/>
  <c r="E65" i="11"/>
  <c r="C42" i="24"/>
  <c r="C44" i="24" s="1"/>
  <c r="F65" i="11"/>
  <c r="H40" i="15"/>
  <c r="D6" i="8"/>
  <c r="D7" i="1" s="1"/>
  <c r="E21" i="9"/>
  <c r="E59" i="9" s="1"/>
  <c r="D12" i="8"/>
  <c r="D20" i="8" s="1"/>
  <c r="C103" i="2" l="1"/>
  <c r="E5" i="1"/>
  <c r="E8" i="1" s="1"/>
  <c r="G24" i="1"/>
  <c r="D8" i="1"/>
  <c r="G20" i="21"/>
  <c r="G22" i="21" s="1"/>
  <c r="G11" i="1"/>
  <c r="G22" i="1" s="1"/>
  <c r="D22" i="14"/>
  <c r="C14" i="1"/>
  <c r="C11" i="1"/>
  <c r="C22" i="1" s="1"/>
  <c r="C24" i="1" s="1"/>
  <c r="C22" i="8"/>
  <c r="B26" i="14"/>
  <c r="B27" i="14"/>
  <c r="D20" i="14"/>
  <c r="D11" i="1"/>
  <c r="D22" i="1" s="1"/>
  <c r="B11" i="1"/>
  <c r="B22" i="1" s="1"/>
  <c r="B24" i="1" s="1"/>
  <c r="D22" i="8"/>
  <c r="F103" i="2"/>
  <c r="B24" i="8"/>
  <c r="B25" i="8"/>
  <c r="E26" i="14"/>
  <c r="E27" i="14"/>
  <c r="E24" i="8"/>
  <c r="E25" i="8"/>
  <c r="E11" i="1"/>
  <c r="E22" i="1" s="1"/>
  <c r="D22" i="21"/>
  <c r="E24" i="1" l="1"/>
  <c r="D2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</authors>
  <commentList>
    <comment ref="G24" authorId="0" shapeId="0" xr:uid="{11A1DFEF-7A2B-46AF-80E9-88C1F8E6FB2E}">
      <text>
        <r>
          <rPr>
            <b/>
            <sz val="9"/>
            <color indexed="81"/>
            <rFont val="Tahoma"/>
            <charset val="1"/>
          </rPr>
          <t>Kelly Hoare:</t>
        </r>
        <r>
          <rPr>
            <sz val="9"/>
            <color indexed="81"/>
            <rFont val="Tahoma"/>
            <charset val="1"/>
          </rPr>
          <t xml:space="preserve">
subtracted 1 to round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  <author>tc={AE1BFAB6-6F21-43DF-8C47-7F00472BE246}</author>
  </authors>
  <commentList>
    <comment ref="H5" authorId="0" shapeId="0" xr:uid="{820E5421-E2B3-4020-9C18-2930D4DE4C8C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Total of AM reserve to assist with funds required for surveys, etc</t>
        </r>
      </text>
    </comment>
    <comment ref="H9" authorId="0" shapeId="0" xr:uid="{D00D6D64-8A28-4BFF-9B50-C6B3BCE167F8}">
      <text>
        <r>
          <rPr>
            <b/>
            <sz val="9"/>
            <color indexed="81"/>
            <rFont val="Tahoma"/>
            <charset val="1"/>
          </rPr>
          <t>Kelly Hoare:</t>
        </r>
        <r>
          <rPr>
            <sz val="9"/>
            <color indexed="81"/>
            <rFont val="Tahoma"/>
            <charset val="1"/>
          </rPr>
          <t xml:space="preserve">
Base tax - $1250
Mill Rate - 4.17</t>
        </r>
      </text>
    </comment>
    <comment ref="H19" authorId="0" shapeId="0" xr:uid="{83A29A2A-1A57-446E-9C67-450C9E186753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Average of last 3 years</t>
        </r>
      </text>
    </comment>
    <comment ref="H20" authorId="0" shapeId="0" xr:uid="{750F91CC-917C-4375-BE9B-A8E60883F700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Average of last 3 years</t>
        </r>
      </text>
    </comment>
    <comment ref="H49" authorId="0" shapeId="0" xr:uid="{3DA7FF0B-DA29-4AC0-9948-4C17C161DCCF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Recreation Survey - $26,820
CED Services - $24,000
HR Review - $20,000
Knox Floor Plan - $10,000</t>
        </r>
      </text>
    </comment>
    <comment ref="H55" authorId="0" shapeId="0" xr:uid="{46D870E2-D129-4ED1-BE6C-0855C4167E13}">
      <text>
        <r>
          <rPr>
            <b/>
            <sz val="9"/>
            <color indexed="81"/>
            <rFont val="Tahoma"/>
            <family val="2"/>
          </rPr>
          <t xml:space="preserve">Kelly Hoare:
</t>
        </r>
        <r>
          <rPr>
            <sz val="9"/>
            <color indexed="81"/>
            <rFont val="Tahoma"/>
            <family val="2"/>
          </rPr>
          <t>Used average</t>
        </r>
      </text>
    </comment>
    <comment ref="H56" authorId="0" shapeId="0" xr:uid="{ED0F5AA4-07B8-4F39-B1C8-A32F45E2ECA5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Used average</t>
        </r>
      </text>
    </comment>
    <comment ref="H57" authorId="0" shapeId="0" xr:uid="{8CBB7B04-8BF7-4275-A06E-02BC008160E4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used average
</t>
        </r>
      </text>
    </comment>
    <comment ref="H66" authorId="0" shapeId="0" xr:uid="{E485C860-4999-44CE-8274-214438E1B5D3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Do we assume we may have one?</t>
        </r>
      </text>
    </comment>
    <comment ref="H89" authorId="1" shapeId="0" xr:uid="{AE1BFAB6-6F21-43DF-8C47-7F00472BE246}">
      <text>
        <t>[Threaded comment]
Your version of Excel allows you to read this threaded comment; however, any edits to it will get removed if the file is opened in a newer version of Excel. Learn more: https://go.microsoft.com/fwlink/?linkid=870924
Comment:
    Sask Housing predicts our share will be around $5,000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</authors>
  <commentList>
    <comment ref="H18" authorId="0" shapeId="0" xr:uid="{33982440-1872-43C6-B170-23D29F0195E4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Moved to PS</t>
        </r>
      </text>
    </comment>
    <comment ref="H23" authorId="0" shapeId="0" xr:uid="{E2569332-1815-4BEF-8AC5-01172CCFCD7E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Moved to PS</t>
        </r>
      </text>
    </comment>
    <comment ref="H24" authorId="0" shapeId="0" xr:uid="{901EC868-D663-4E67-B4B1-04F9003AA659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Moved all supplies to 520-420-100 only use this for our rat eradication contractor fee</t>
        </r>
      </text>
    </comment>
    <comment ref="H28" authorId="0" shapeId="0" xr:uid="{E1B2113A-80B0-49E0-9F59-7D7B2A47BBE8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Moved to PS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</authors>
  <commentList>
    <comment ref="H12" authorId="0" shapeId="0" xr:uid="{9A065DBC-85F8-40BF-8836-540EA9C770AE}">
      <text>
        <r>
          <rPr>
            <b/>
            <sz val="9"/>
            <color indexed="81"/>
            <rFont val="Tahoma"/>
            <charset val="1"/>
          </rPr>
          <t>Kelly Hoare:</t>
        </r>
        <r>
          <rPr>
            <sz val="9"/>
            <color indexed="81"/>
            <rFont val="Tahoma"/>
            <charset val="1"/>
          </rPr>
          <t xml:space="preserve">
Based on revenue generated for last 1/4 at $50/hr
Mileage @ $.60/km</t>
        </r>
      </text>
    </comment>
    <comment ref="H13" authorId="0" shapeId="0" xr:uid="{881822CC-A607-4E11-B2E2-B49166EA0823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moved from BE</t>
        </r>
      </text>
    </comment>
    <comment ref="H20" authorId="0" shapeId="0" xr:uid="{84E18EF6-0360-4F05-86FA-76CC7BA1FFB8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Moved from Bylaw
Added additional $20,000 for last quarter</t>
        </r>
      </text>
    </comment>
    <comment ref="H33" authorId="0" shapeId="0" xr:uid="{1A9D7BBA-344A-48E8-BE73-1239C9470E57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Moved $2,800 from BE</t>
        </r>
      </text>
    </comment>
    <comment ref="H42" authorId="0" shapeId="0" xr:uid="{815BEF8C-6157-41C4-A528-99AEC04FD327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Truck and accessories for CSO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</authors>
  <commentList>
    <comment ref="H4" authorId="0" shapeId="0" xr:uid="{E39CC83D-B60D-4F88-91AD-BC7E59DBCE66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West Change Room $12,000, HVAC - $25,000 Staff Washroom - $2,000, 
Handrailings, etc $10,000
</t>
        </r>
      </text>
    </comment>
    <comment ref="H9" authorId="0" shapeId="0" xr:uid="{3E3DFC4E-9CDC-4DF0-9B20-5BA2BE52A322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Would we open the canteen in September again?</t>
        </r>
      </text>
    </comment>
    <comment ref="H10" authorId="0" shapeId="0" xr:uid="{8E5A0FA2-3D0A-47C7-B3B0-53EF07B56BCD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Includes a 2% increase</t>
        </r>
      </text>
    </comment>
    <comment ref="H12" authorId="0" shapeId="0" xr:uid="{2834052E-7F66-4816-96F9-5B6D8F841C56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Includes a 1% increase</t>
        </r>
      </text>
    </comment>
    <comment ref="H28" authorId="0" shapeId="0" xr:uid="{AB0A62EB-B9F8-4144-96BA-0CDE412CD91B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Canteen wages removed
3.5 FTE positions</t>
        </r>
      </text>
    </comment>
    <comment ref="H64" authorId="0" shapeId="0" xr:uid="{CF400062-C015-455C-99A6-2655CD3B9847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$53,000 for items listed on budget - not capital</t>
        </r>
      </text>
    </comment>
    <comment ref="H77" authorId="0" shapeId="0" xr:uid="{C7955BE1-BF18-4D60-8D75-BA75BDD1C310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West Change Room $12,000, HVAC - $25,000 Staff Washroom - $2,000, 
Handrailings, etc $10,000
</t>
        </r>
      </text>
    </comment>
    <comment ref="G78" authorId="0" shapeId="0" xr:uid="{93A5BB5B-4A2D-4F4C-A7B3-79C4CCC171FF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Balance of Sign Revenue after dehumidifier is paid for - $6,170
Field of Dreams - $46,023.29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  <author>tc={181152D6-D776-49C6-9F31-C7732857BB96}</author>
    <author>tc={2D53D92B-279C-4266-AF8B-72711ADB9398}</author>
  </authors>
  <commentList>
    <comment ref="H5" authorId="0" shapeId="0" xr:uid="{1612F544-4ADC-4776-B419-BACC8ACFB2AB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Liner - $20,000
Feasibility Study - $32,200
</t>
        </r>
      </text>
    </comment>
    <comment ref="H40" authorId="0" shapeId="0" xr:uid="{FFBE3A45-4B06-4DF4-AF29-68970E521BB4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Feasibility Study - $32,200</t>
        </r>
      </text>
    </comment>
    <comment ref="H51" authorId="0" shapeId="0" xr:uid="{5CDAAB41-8F5D-49CE-9699-E70F5867BC2C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$1,500 for garbage/recycle recepticles
AED - $3,000</t>
        </r>
      </text>
    </comment>
    <comment ref="H59" authorId="1" shapeId="0" xr:uid="{181152D6-D776-49C6-9F31-C7732857BB96}">
      <text>
        <t>[Threaded comment]
Your version of Excel allows you to read this threaded comment; however, any edits to it will get removed if the file is opened in a newer version of Excel. Learn more: https://go.microsoft.com/fwlink/?linkid=870924
Comment:
    Pool Liner &amp; non slip flooring</t>
      </text>
    </comment>
    <comment ref="H60" authorId="2" shapeId="0" xr:uid="{2D53D92B-279C-4266-AF8B-72711ADB9398}">
      <text>
        <t>[Threaded comment]
Your version of Excel allows you to read this threaded comment; however, any edits to it will get removed if the file is opened in a newer version of Excel. Learn more: https://go.microsoft.com/fwlink/?linkid=870924
Comment:
    $10,000 per policy.   $5,000 for future liner replacement</t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</authors>
  <commentList>
    <comment ref="H47" authorId="0" shapeId="0" xr:uid="{050316E1-CF2A-4402-945F-3E02DB95B981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Campground bathroom paint and doors - $6,000
6 Fire pits - $3,000
Centenial - garbage recepticles x 2 - $3000
SG - Garbage Recepticles x 3 - 4500</t>
        </r>
      </text>
    </comment>
    <comment ref="H49" authorId="0" shapeId="0" xr:uid="{6C66F163-CBDD-46E6-B472-449D6F83BA42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Lease payment - $7,525 for the year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</authors>
  <commentList>
    <comment ref="H9" authorId="0" shapeId="0" xr:uid="{ACB24742-023E-4D1C-A6FD-ABA77178835A}">
      <text>
        <r>
          <rPr>
            <b/>
            <sz val="9"/>
            <color indexed="81"/>
            <rFont val="Tahoma"/>
            <charset val="1"/>
          </rPr>
          <t>Kelly Hoare:</t>
        </r>
        <r>
          <rPr>
            <sz val="9"/>
            <color indexed="81"/>
            <rFont val="Tahoma"/>
            <charset val="1"/>
          </rPr>
          <t xml:space="preserve">
RM $500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</authors>
  <commentList>
    <comment ref="H19" authorId="0" shapeId="0" xr:uid="{D0025A24-D9AB-4E61-8C0B-1AC47FEAE4C0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Golf Course only - we will revisit for 2025 agreement renewal</t>
        </r>
      </text>
    </comment>
    <comment ref="H30" authorId="0" shapeId="0" xr:uid="{B6C9C7F0-5D1F-435B-83AC-96C8FAE2A61E}">
      <text>
        <r>
          <rPr>
            <b/>
            <sz val="9"/>
            <color indexed="81"/>
            <rFont val="Tahoma"/>
            <charset val="1"/>
          </rPr>
          <t>Kelly Hoare:</t>
        </r>
        <r>
          <rPr>
            <sz val="9"/>
            <color indexed="81"/>
            <rFont val="Tahoma"/>
            <charset val="1"/>
          </rPr>
          <t xml:space="preserve">
Wapiti - $37,000
Disc Golf - $5,000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tc={24F06F73-8BA3-4BD6-80F6-16D84B97E310}</author>
  </authors>
  <commentList>
    <comment ref="H25" authorId="0" shapeId="0" xr:uid="{24F06F73-8BA3-4BD6-80F6-16D84B97E310}">
      <text>
        <t>[Threaded comment]
Your version of Excel allows you to read this threaded comment; however, any edits to it will get removed if the file is opened in a newer version of Excel. Learn more: https://go.microsoft.com/fwlink/?linkid=870924
Comment:
    Includes $5,000 for trees</t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</authors>
  <commentList>
    <comment ref="H18" authorId="0" shapeId="0" xr:uid="{1206258C-C54F-4909-BD24-5DB169F3DCB4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Removed Tech position as we do not believe that we will fill it in 2022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</authors>
  <commentList>
    <comment ref="H4" authorId="0" shapeId="0" xr:uid="{94478D00-2C16-43A2-A0B2-A4AC08451903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Bring water to shop
Pole shed to store trucks - $30,000 from PW Discretionary, $30,000 from Bischlers &amp; Rail and $5,000 from Development
</t>
        </r>
      </text>
    </comment>
    <comment ref="H14" authorId="0" shapeId="0" xr:uid="{46B040BE-EB03-47EB-96BE-DA64D7E639DA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Bring water to shop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  <author>tc={E7B20A14-91DD-4AA8-A9F2-5780F4D185FE}</author>
  </authors>
  <commentList>
    <comment ref="H5" authorId="0" shapeId="0" xr:uid="{E7800D55-6657-4B44-B541-A6331459AF8A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Curb and Gutter - Brook
Hospital Reserve - $80,000
Streets - $220,000
</t>
        </r>
      </text>
    </comment>
    <comment ref="H27" authorId="0" shapeId="0" xr:uid="{7E6DD5A8-D7F8-4AD8-BD87-C741D507909D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$53,000 stock
$10,000 alleys
$2,000 parking lots</t>
        </r>
      </text>
    </comment>
    <comment ref="H38" authorId="0" shapeId="0" xr:uid="{06511CE7-6FD6-4C8B-ACC8-0FC1DFC425FA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Curb &amp; Gutter - Brook Crescent
Hospital Road - $400,000</t>
        </r>
      </text>
    </comment>
    <comment ref="H39" authorId="1" shapeId="0" xr:uid="{E7B20A14-91DD-4AA8-A9F2-5780F4D185FE}">
      <text>
        <t>[Threaded comment]
Your version of Excel allows you to read this threaded comment; however, any edits to it will get removed if the file is opened in a newer version of Excel. Learn more: https://go.microsoft.com/fwlink/?linkid=870924
Comment:
    $100,000 streets, roads, bridges
$25,000 sidewalk, curb &amp; gutter
$15,000 for emergency repairs/upset conditions - look at adding this at year end</t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  <author>tc={BB9B829D-3DC7-4DC4-8343-D1520F925898}</author>
    <author>tc={D8E6E606-F059-4BBD-832D-4FF019B26775}</author>
  </authors>
  <commentList>
    <comment ref="H5" authorId="0" shapeId="0" xr:uid="{F9F6FB29-D4C4-4897-BB86-256B988BDAD6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Sewer jet truck</t>
        </r>
      </text>
    </comment>
    <comment ref="H21" authorId="1" shapeId="0" xr:uid="{BB9B829D-3DC7-4DC4-8343-D1520F925898}">
      <text>
        <t>[Threaded comment]
Your version of Excel allows you to read this threaded comment; however, any edits to it will get removed if the file is opened in a newer version of Excel. Learn more: https://go.microsoft.com/fwlink/?linkid=870924
Comment:
    Combine with 530-290-101</t>
      </text>
    </comment>
    <comment ref="H37" authorId="0" shapeId="0" xr:uid="{C5A25BD1-51DB-434F-920E-9545F91CC931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Sewer jet truck</t>
        </r>
      </text>
    </comment>
    <comment ref="H38" authorId="2" shapeId="0" xr:uid="{D8E6E606-F059-4BBD-832D-4FF019B26775}">
      <text>
        <t>[Threaded comment]
Your version of Excel allows you to read this threaded comment; however, any edits to it will get removed if the file is opened in a newer version of Excel. Learn more: https://go.microsoft.com/fwlink/?linkid=870924
Comment:
    based on 2.5% of annual equipment replacement</t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</authors>
  <commentList>
    <comment ref="H5" authorId="0" shapeId="0" xr:uid="{6C153D5D-B301-4C59-9871-B4ABA1EDB508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$40,000 for pumps and servicing
$174,360 for loan payment</t>
        </r>
      </text>
    </comment>
    <comment ref="H27" authorId="0" shapeId="0" xr:uid="{C8562C61-9D13-4146-A16D-950CD8C95202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service pumps @ lagoon &amp; main lift put - $40,000
</t>
        </r>
      </text>
    </comment>
    <comment ref="H50" authorId="0" shapeId="0" xr:uid="{B61224E4-83F7-46C5-8B9F-F32694BFE15F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WWTP Interest - $44,500
Mitigation loan - $90,000</t>
        </r>
      </text>
    </comment>
    <comment ref="H55" authorId="0" shapeId="0" xr:uid="{EF98FC07-FE57-4DB6-97E8-1ABA2EA74F72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WWTP - $218,800
Mitigation Loan - $84,360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  <author>tc={5F8441A9-DFB6-45E0-BE2F-A9B6C1EF5827}</author>
  </authors>
  <commentList>
    <comment ref="H14" authorId="0" shapeId="0" xr:uid="{66848EE3-BC80-445B-A8B6-C4B581D876B9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West side development - $66,000 
Floor plan for church - $10,000</t>
        </r>
      </text>
    </comment>
    <comment ref="H22" authorId="1" shapeId="0" xr:uid="{5F8441A9-DFB6-45E0-BE2F-A9B6C1EF5827}">
      <text>
        <t>[Threaded comment]
Your version of Excel allows you to read this threaded comment; however, any edits to it will get removed if the file is opened in a newer version of Excel. Learn more: https://go.microsoft.com/fwlink/?linkid=870924
Comment:
    This includes the capitial building replacement reserve amount of $75,000.  - Look at adding at year end
I wasn't sure where else to put it, so thought we should just change the name of this department to Development
Reserve policy - $50,000 - look at adding in at year end
Land Sales - $105,680</t>
      </text>
    </comment>
  </commentList>
</comments>
</file>

<file path=xl/sharedStrings.xml><?xml version="1.0" encoding="utf-8"?>
<sst xmlns="http://schemas.openxmlformats.org/spreadsheetml/2006/main" count="1380" uniqueCount="527">
  <si>
    <t>YTD</t>
  </si>
  <si>
    <t>Budget</t>
  </si>
  <si>
    <t>Revenues</t>
  </si>
  <si>
    <t>Transfer from Reserves</t>
  </si>
  <si>
    <t>Fees and Charges</t>
  </si>
  <si>
    <t>Land Sales - Gain</t>
  </si>
  <si>
    <t>Grants</t>
  </si>
  <si>
    <t>Total Revenues</t>
  </si>
  <si>
    <t/>
  </si>
  <si>
    <t>Expenses</t>
  </si>
  <si>
    <t>Wages and Benefits</t>
  </si>
  <si>
    <t>Professional/Contractual Services</t>
  </si>
  <si>
    <t>Utilities</t>
  </si>
  <si>
    <t>Maintenance, Materials, and Supplies</t>
  </si>
  <si>
    <t>Grants and Contributions</t>
  </si>
  <si>
    <t>Amortization</t>
  </si>
  <si>
    <t>Interest &amp; Bank Charges</t>
  </si>
  <si>
    <t>Other</t>
  </si>
  <si>
    <t>Loan Repayment</t>
  </si>
  <si>
    <t>Capital</t>
  </si>
  <si>
    <t>Transfer to Reserves</t>
  </si>
  <si>
    <t>Total Expenses</t>
  </si>
  <si>
    <t>Surplus (Deficit) by Cost Centre</t>
  </si>
  <si>
    <t>Approved on ___________________________________</t>
  </si>
  <si>
    <t>Amund Otterson, Mayor</t>
  </si>
  <si>
    <t>Reserves:</t>
  </si>
  <si>
    <t>490-100-190</t>
  </si>
  <si>
    <t>Total Transfers from Reserves</t>
  </si>
  <si>
    <t>Fees and Charges:</t>
  </si>
  <si>
    <t>410-110-100</t>
  </si>
  <si>
    <t>410-120-100</t>
  </si>
  <si>
    <t>410-130-100</t>
  </si>
  <si>
    <t>410-400-210</t>
  </si>
  <si>
    <t>420-200-200</t>
  </si>
  <si>
    <t>420-300-100</t>
  </si>
  <si>
    <t>420-710-110</t>
  </si>
  <si>
    <t>420-800-100</t>
  </si>
  <si>
    <t>420-800-200</t>
  </si>
  <si>
    <t>420-800-230</t>
  </si>
  <si>
    <t>420-800-240</t>
  </si>
  <si>
    <t>470-100-100</t>
  </si>
  <si>
    <t>480-170-100</t>
  </si>
  <si>
    <t>Total Fees and Charges</t>
  </si>
  <si>
    <t>Grants - Conditional:</t>
  </si>
  <si>
    <t>450-110-100</t>
  </si>
  <si>
    <t>450-140-100</t>
  </si>
  <si>
    <t>450-140-110</t>
  </si>
  <si>
    <t>450-200-070</t>
  </si>
  <si>
    <t>450-305-105</t>
  </si>
  <si>
    <t>450-340-100</t>
  </si>
  <si>
    <t>Total Grants - Conditional</t>
  </si>
  <si>
    <t>Wages and Benefits:</t>
  </si>
  <si>
    <t>510-110-230</t>
  </si>
  <si>
    <t>510-130-231</t>
  </si>
  <si>
    <t>510-130-232</t>
  </si>
  <si>
    <t>510-130-233</t>
  </si>
  <si>
    <t>510-130-234</t>
  </si>
  <si>
    <t>510-130-235</t>
  </si>
  <si>
    <t>Total Wages and Benefits</t>
  </si>
  <si>
    <t>Professional/Contractual Services:</t>
  </si>
  <si>
    <t>510-200-110</t>
  </si>
  <si>
    <t>510-200-130</t>
  </si>
  <si>
    <t>510-200-150</t>
  </si>
  <si>
    <t>510-200-160</t>
  </si>
  <si>
    <t>510-220-100</t>
  </si>
  <si>
    <t>510-500-120</t>
  </si>
  <si>
    <t>Total Professional/Contractual Services</t>
  </si>
  <si>
    <t>Utilities:</t>
  </si>
  <si>
    <t>510-300-110</t>
  </si>
  <si>
    <t>510-300-120</t>
  </si>
  <si>
    <t>510-300-130</t>
  </si>
  <si>
    <t>510-300-140</t>
  </si>
  <si>
    <t>Total Utilities</t>
  </si>
  <si>
    <t>Maintenance, Materials and Supplies:</t>
  </si>
  <si>
    <t>510-200-170</t>
  </si>
  <si>
    <t>510-210-170</t>
  </si>
  <si>
    <t>510-230-100</t>
  </si>
  <si>
    <t>510-240-100</t>
  </si>
  <si>
    <t>510-260-150</t>
  </si>
  <si>
    <t>510-270-100</t>
  </si>
  <si>
    <t>510-400-110</t>
  </si>
  <si>
    <t>510-410-140</t>
  </si>
  <si>
    <t>510-410-160</t>
  </si>
  <si>
    <t>510-420-100</t>
  </si>
  <si>
    <t>510-490-100</t>
  </si>
  <si>
    <t>Total Maintenance, Materials, and Supplies</t>
  </si>
  <si>
    <t>Grants and Contributions:</t>
  </si>
  <si>
    <t>510-500-110</t>
  </si>
  <si>
    <t>Total Grants and Contributions</t>
  </si>
  <si>
    <t>Amortization:</t>
  </si>
  <si>
    <t>510-700-590</t>
  </si>
  <si>
    <t>Total Amortization</t>
  </si>
  <si>
    <t>Interest &amp; Loan Repayments:</t>
  </si>
  <si>
    <t>510-290-100</t>
  </si>
  <si>
    <t>Total Interest &amp; Loan Repayments</t>
  </si>
  <si>
    <t>Other:</t>
  </si>
  <si>
    <t>510-210-175</t>
  </si>
  <si>
    <t>550-540-100</t>
  </si>
  <si>
    <t>Total Other</t>
  </si>
  <si>
    <t>Capital Purchases</t>
  </si>
  <si>
    <t>510-600-110</t>
  </si>
  <si>
    <t>510-600-120</t>
  </si>
  <si>
    <t>510-600-140</t>
  </si>
  <si>
    <t>Total Capital Purchases</t>
  </si>
  <si>
    <t>Reserves</t>
  </si>
  <si>
    <t>590-110-100</t>
  </si>
  <si>
    <t>*used average of 3 years where it made sense to do so.</t>
  </si>
  <si>
    <t>* all wages have been calculated per wage grid</t>
  </si>
  <si>
    <t>510-110-110</t>
  </si>
  <si>
    <t>510-120-110</t>
  </si>
  <si>
    <t>510-120-115</t>
  </si>
  <si>
    <t>Maintenance, Materials, and Supplies:</t>
  </si>
  <si>
    <t>510-210-160</t>
  </si>
  <si>
    <t>Special Events Expenses</t>
  </si>
  <si>
    <t>510-210-110</t>
  </si>
  <si>
    <t>510-210-140</t>
  </si>
  <si>
    <t>510-210-150</t>
  </si>
  <si>
    <t>490-100-105</t>
  </si>
  <si>
    <t>420-400-300</t>
  </si>
  <si>
    <t>420-400-305</t>
  </si>
  <si>
    <t>525-110-120</t>
  </si>
  <si>
    <t>525-120-114</t>
  </si>
  <si>
    <t>525-120-115</t>
  </si>
  <si>
    <t>525-210-110</t>
  </si>
  <si>
    <t>525-300-140</t>
  </si>
  <si>
    <t>525-210-170</t>
  </si>
  <si>
    <t>525-230-100</t>
  </si>
  <si>
    <t>525-240-100</t>
  </si>
  <si>
    <t>525-430-100</t>
  </si>
  <si>
    <t>525-430-110</t>
  </si>
  <si>
    <t>525-440-100</t>
  </si>
  <si>
    <t>525-450-100</t>
  </si>
  <si>
    <t>525-600-590</t>
  </si>
  <si>
    <t>525-220-100</t>
  </si>
  <si>
    <t>525-600-140</t>
  </si>
  <si>
    <t>590-110-110</t>
  </si>
  <si>
    <t>SubTotal</t>
  </si>
  <si>
    <t>50% of budget provided by FD</t>
  </si>
  <si>
    <t>Reserves per policy</t>
  </si>
  <si>
    <t>420-710-100</t>
  </si>
  <si>
    <t>420-710-105</t>
  </si>
  <si>
    <t>520-210-110</t>
  </si>
  <si>
    <t>Averaged revenue &amp; expenses over 3 years</t>
  </si>
  <si>
    <t>420-700-200</t>
  </si>
  <si>
    <t>420-700-205</t>
  </si>
  <si>
    <t>420-700-210</t>
  </si>
  <si>
    <t>520-110-110</t>
  </si>
  <si>
    <t>520-120-110</t>
  </si>
  <si>
    <t>520-210-120</t>
  </si>
  <si>
    <t>520-210-125</t>
  </si>
  <si>
    <t>520-420-100</t>
  </si>
  <si>
    <t>490-100-195</t>
  </si>
  <si>
    <t>420-400-100</t>
  </si>
  <si>
    <t>420-400-110</t>
  </si>
  <si>
    <t>420-400-710</t>
  </si>
  <si>
    <t>420-400-700</t>
  </si>
  <si>
    <t>520-110-115</t>
  </si>
  <si>
    <t>520-120-115</t>
  </si>
  <si>
    <t>520-450-100</t>
  </si>
  <si>
    <t>520-300-140</t>
  </si>
  <si>
    <t>520-420-170</t>
  </si>
  <si>
    <t>520-700-590</t>
  </si>
  <si>
    <t>520-600-120</t>
  </si>
  <si>
    <t>590-110-115</t>
  </si>
  <si>
    <t>Averaged revenue over 3 years</t>
  </si>
  <si>
    <t>Based on Taxes</t>
  </si>
  <si>
    <t>Based on fees &amp; charges</t>
  </si>
  <si>
    <t>490-100-145</t>
  </si>
  <si>
    <t>490-900-100</t>
  </si>
  <si>
    <t>Grants - Local:</t>
  </si>
  <si>
    <t>450-115-100</t>
  </si>
  <si>
    <t>Total Grants - Local</t>
  </si>
  <si>
    <t>450-230-100</t>
  </si>
  <si>
    <t>450-315-100</t>
  </si>
  <si>
    <t xml:space="preserve">Total Grants </t>
  </si>
  <si>
    <t>570-110-110</t>
  </si>
  <si>
    <t>570-120-110</t>
  </si>
  <si>
    <t>570-260-100</t>
  </si>
  <si>
    <t>570-200-110</t>
  </si>
  <si>
    <t>570-240-100</t>
  </si>
  <si>
    <t>570-250-100</t>
  </si>
  <si>
    <t>570-410-100</t>
  </si>
  <si>
    <t>570-410-160</t>
  </si>
  <si>
    <t>570-420-190</t>
  </si>
  <si>
    <t>570-900-110</t>
  </si>
  <si>
    <t>570-500-110</t>
  </si>
  <si>
    <r>
      <t>570</t>
    </r>
    <r>
      <rPr>
        <sz val="10"/>
        <color rgb="FF5B5B5B"/>
        <rFont val="Arial"/>
        <family val="2"/>
      </rPr>
      <t>-</t>
    </r>
    <r>
      <rPr>
        <sz val="10"/>
        <color rgb="FF282828"/>
        <rFont val="Calibri"/>
        <family val="2"/>
        <scheme val="minor"/>
      </rPr>
      <t>600</t>
    </r>
    <r>
      <rPr>
        <sz val="10"/>
        <color rgb="FF5B5B5B"/>
        <rFont val="Calibri"/>
        <family val="2"/>
        <scheme val="minor"/>
      </rPr>
      <t>-</t>
    </r>
    <r>
      <rPr>
        <sz val="10"/>
        <color rgb="FF282828"/>
        <rFont val="Calibri"/>
        <family val="2"/>
        <scheme val="minor"/>
      </rPr>
      <t>585</t>
    </r>
  </si>
  <si>
    <t>570-220-100</t>
  </si>
  <si>
    <t>570-110-205</t>
  </si>
  <si>
    <t>490-100-110</t>
  </si>
  <si>
    <t>Fees &amp; Charges</t>
  </si>
  <si>
    <r>
      <t>420</t>
    </r>
    <r>
      <rPr>
        <sz val="10"/>
        <color rgb="FF5B5B5B"/>
        <rFont val="Arial"/>
        <family val="2"/>
      </rPr>
      <t>-</t>
    </r>
    <r>
      <rPr>
        <sz val="10"/>
        <color rgb="FF282828"/>
        <rFont val="Calibri"/>
        <family val="2"/>
        <scheme val="minor"/>
      </rPr>
      <t>200-500</t>
    </r>
  </si>
  <si>
    <t>420-500-400</t>
  </si>
  <si>
    <t>420-520-100</t>
  </si>
  <si>
    <t>420-520-105</t>
  </si>
  <si>
    <t>420-520-200</t>
  </si>
  <si>
    <t>420-520-290</t>
  </si>
  <si>
    <t>420-520-700</t>
  </si>
  <si>
    <t>420-520-800</t>
  </si>
  <si>
    <t>420-520-900</t>
  </si>
  <si>
    <t>480-150-140</t>
  </si>
  <si>
    <t>480-170-105</t>
  </si>
  <si>
    <t>480-100-100</t>
  </si>
  <si>
    <t>Total Revenue</t>
  </si>
  <si>
    <t>570-110-120</t>
  </si>
  <si>
    <t>570-120-121</t>
  </si>
  <si>
    <t>570-120-122</t>
  </si>
  <si>
    <t>570-120-123</t>
  </si>
  <si>
    <t>570-120-234</t>
  </si>
  <si>
    <r>
      <t>570</t>
    </r>
    <r>
      <rPr>
        <sz val="10"/>
        <color rgb="FF494949"/>
        <rFont val="Arial"/>
        <family val="2"/>
      </rPr>
      <t>-</t>
    </r>
    <r>
      <rPr>
        <sz val="10"/>
        <color rgb="FF494949"/>
        <rFont val="Calibri"/>
        <family val="2"/>
      </rPr>
      <t>120-235</t>
    </r>
  </si>
  <si>
    <t>570-300-110</t>
  </si>
  <si>
    <t>570-310-110</t>
  </si>
  <si>
    <t>570-320-110</t>
  </si>
  <si>
    <t>570-330-110</t>
  </si>
  <si>
    <t>570-340-120</t>
  </si>
  <si>
    <t>570-210-100</t>
  </si>
  <si>
    <t>570-270-130</t>
  </si>
  <si>
    <t>570-340-110</t>
  </si>
  <si>
    <t>570-900-125</t>
  </si>
  <si>
    <t>570-230-100</t>
  </si>
  <si>
    <t>570-240-110</t>
  </si>
  <si>
    <t>570-250-110</t>
  </si>
  <si>
    <t>570-400-110</t>
  </si>
  <si>
    <t>570-420-110</t>
  </si>
  <si>
    <t>570-420-120</t>
  </si>
  <si>
    <t>570-420-125</t>
  </si>
  <si>
    <t>570-420-135</t>
  </si>
  <si>
    <t>570-420-137</t>
  </si>
  <si>
    <t>570-420-155</t>
  </si>
  <si>
    <t>570-420-160</t>
  </si>
  <si>
    <t>570-430-110</t>
  </si>
  <si>
    <t>570-430-190</t>
  </si>
  <si>
    <t>Total Maintenance, Materials &amp; Supplies</t>
  </si>
  <si>
    <t>570-500-125</t>
  </si>
  <si>
    <r>
      <t>570</t>
    </r>
    <r>
      <rPr>
        <sz val="10"/>
        <color rgb="FF646464"/>
        <rFont val="Arial"/>
        <family val="2"/>
      </rPr>
      <t>-</t>
    </r>
    <r>
      <rPr>
        <sz val="10"/>
        <color rgb="FF282828"/>
        <rFont val="Calibri"/>
        <family val="2"/>
        <scheme val="minor"/>
      </rPr>
      <t>700-110</t>
    </r>
  </si>
  <si>
    <t>Reserves &amp; Capital Purchases</t>
  </si>
  <si>
    <t>570-600-110</t>
  </si>
  <si>
    <t>590-110-130</t>
  </si>
  <si>
    <t xml:space="preserve"> </t>
  </si>
  <si>
    <t>Revenue</t>
  </si>
  <si>
    <t>490-100-120</t>
  </si>
  <si>
    <t>420-520-300</t>
  </si>
  <si>
    <t>420-520-305</t>
  </si>
  <si>
    <t>420-520-310</t>
  </si>
  <si>
    <t>420-520-320</t>
  </si>
  <si>
    <t>420-520-325</t>
  </si>
  <si>
    <t>420-520-330</t>
  </si>
  <si>
    <t>480-150-100</t>
  </si>
  <si>
    <r>
      <t>450-105</t>
    </r>
    <r>
      <rPr>
        <sz val="11"/>
        <color rgb="FF565656"/>
        <rFont val="Arial"/>
        <family val="2"/>
      </rPr>
      <t>-</t>
    </r>
    <r>
      <rPr>
        <sz val="10"/>
        <color rgb="FF282828"/>
        <rFont val="Calibri"/>
        <family val="2"/>
        <scheme val="minor"/>
      </rPr>
      <t>100</t>
    </r>
  </si>
  <si>
    <t>450-115-110</t>
  </si>
  <si>
    <t>450-230-105</t>
  </si>
  <si>
    <t>450-320-105</t>
  </si>
  <si>
    <t>570-110-140</t>
  </si>
  <si>
    <t>570-120-140</t>
  </si>
  <si>
    <t>570-300-130</t>
  </si>
  <si>
    <r>
      <t>570-310</t>
    </r>
    <r>
      <rPr>
        <sz val="10"/>
        <color rgb="FF464646"/>
        <rFont val="Calibri"/>
        <family val="2"/>
        <scheme val="minor"/>
      </rPr>
      <t>-</t>
    </r>
    <r>
      <rPr>
        <sz val="10"/>
        <color rgb="FF282828"/>
        <rFont val="Calibri"/>
        <family val="2"/>
        <scheme val="minor"/>
      </rPr>
      <t>130</t>
    </r>
  </si>
  <si>
    <t>570-320-130</t>
  </si>
  <si>
    <t>570-330-130</t>
  </si>
  <si>
    <t>570-900-135</t>
  </si>
  <si>
    <r>
      <t>570-230</t>
    </r>
    <r>
      <rPr>
        <sz val="11"/>
        <color rgb="FF696969"/>
        <rFont val="Arial"/>
        <family val="2"/>
      </rPr>
      <t>-</t>
    </r>
    <r>
      <rPr>
        <sz val="10"/>
        <color rgb="FF282828"/>
        <rFont val="Calibri"/>
        <family val="2"/>
        <scheme val="minor"/>
      </rPr>
      <t>130</t>
    </r>
  </si>
  <si>
    <t>570-250-120</t>
  </si>
  <si>
    <t>570-250-140</t>
  </si>
  <si>
    <t>570-420-115</t>
  </si>
  <si>
    <t>570-420-130</t>
  </si>
  <si>
    <t>570-420-132</t>
  </si>
  <si>
    <t>570-430-130</t>
  </si>
  <si>
    <r>
      <t>570-700</t>
    </r>
    <r>
      <rPr>
        <sz val="10"/>
        <color rgb="FF464646"/>
        <rFont val="Calibri"/>
        <family val="2"/>
        <scheme val="minor"/>
      </rPr>
      <t>-</t>
    </r>
    <r>
      <rPr>
        <sz val="10"/>
        <color rgb="FF282828"/>
        <rFont val="Calibri"/>
        <family val="2"/>
        <scheme val="minor"/>
      </rPr>
      <t>130</t>
    </r>
  </si>
  <si>
    <t>570-600-120</t>
  </si>
  <si>
    <t>590-110-140</t>
  </si>
  <si>
    <t>Total are not coming over</t>
  </si>
  <si>
    <t>490-100-125</t>
  </si>
  <si>
    <r>
      <t>420-500-</t>
    </r>
    <r>
      <rPr>
        <sz val="10"/>
        <color rgb="FF1F1F1F"/>
        <rFont val="Calibri"/>
        <family val="2"/>
        <scheme val="minor"/>
      </rPr>
      <t>800</t>
    </r>
  </si>
  <si>
    <t>420-500-850</t>
  </si>
  <si>
    <t>420-500-900</t>
  </si>
  <si>
    <t>420-520-296</t>
  </si>
  <si>
    <r>
      <t>480</t>
    </r>
    <r>
      <rPr>
        <sz val="11"/>
        <color rgb="FF565656"/>
        <rFont val="Arial"/>
        <family val="2"/>
      </rPr>
      <t>-</t>
    </r>
    <r>
      <rPr>
        <sz val="10"/>
        <color rgb="FF282828"/>
        <rFont val="Calibri"/>
        <family val="2"/>
        <scheme val="minor"/>
      </rPr>
      <t>150-110</t>
    </r>
  </si>
  <si>
    <t>450-400-050</t>
  </si>
  <si>
    <t>SPRA Grant</t>
  </si>
  <si>
    <t>570-110-160</t>
  </si>
  <si>
    <t>570-120-170</t>
  </si>
  <si>
    <t>570-120-172</t>
  </si>
  <si>
    <t>570-120-173</t>
  </si>
  <si>
    <t>570-120-174</t>
  </si>
  <si>
    <t>570-120-175</t>
  </si>
  <si>
    <t>570-270-100</t>
  </si>
  <si>
    <t>570-300-160</t>
  </si>
  <si>
    <t>570-310-160</t>
  </si>
  <si>
    <t>570-320-170</t>
  </si>
  <si>
    <t>570-330-160</t>
  </si>
  <si>
    <t>570-230-135</t>
  </si>
  <si>
    <t>570-250-115</t>
  </si>
  <si>
    <t>570-280-100</t>
  </si>
  <si>
    <t>570-285-135</t>
  </si>
  <si>
    <t>570-420-145</t>
  </si>
  <si>
    <t>570-430-135</t>
  </si>
  <si>
    <t>570-430-170</t>
  </si>
  <si>
    <t>570-600-140</t>
  </si>
  <si>
    <t>590-100-135</t>
  </si>
  <si>
    <t>420-510-800</t>
  </si>
  <si>
    <t>450-115-115</t>
  </si>
  <si>
    <t>450-230-115</t>
  </si>
  <si>
    <t>450-305-100</t>
  </si>
  <si>
    <t>450-320-110</t>
  </si>
  <si>
    <t>570-110-170</t>
  </si>
  <si>
    <t>570-120-180</t>
  </si>
  <si>
    <t>570-420-195</t>
  </si>
  <si>
    <t>Based on taxes</t>
  </si>
  <si>
    <t>420-530-200</t>
  </si>
  <si>
    <t>Conditional</t>
  </si>
  <si>
    <t>570-110-150</t>
  </si>
  <si>
    <t>570-120-150</t>
  </si>
  <si>
    <r>
      <t>570</t>
    </r>
    <r>
      <rPr>
        <sz val="10"/>
        <color rgb="FF545454"/>
        <rFont val="Calibri"/>
        <family val="2"/>
        <scheme val="minor"/>
      </rPr>
      <t>-</t>
    </r>
    <r>
      <rPr>
        <sz val="10"/>
        <color rgb="FF282828"/>
        <rFont val="Calibri"/>
        <family val="2"/>
        <scheme val="minor"/>
      </rPr>
      <t>270-110</t>
    </r>
  </si>
  <si>
    <t>570-430-150</t>
  </si>
  <si>
    <t>570-310-150</t>
  </si>
  <si>
    <t>570-300-150</t>
  </si>
  <si>
    <t>570-320-150</t>
  </si>
  <si>
    <t>570-230-110</t>
  </si>
  <si>
    <t>570-240-120</t>
  </si>
  <si>
    <t>570-420-150</t>
  </si>
  <si>
    <r>
      <t>570</t>
    </r>
    <r>
      <rPr>
        <sz val="11"/>
        <color rgb="FF646464"/>
        <rFont val="Arial"/>
        <family val="2"/>
      </rPr>
      <t>-</t>
    </r>
    <r>
      <rPr>
        <sz val="10"/>
        <color rgb="FF282828"/>
        <rFont val="Calibri"/>
        <family val="2"/>
        <scheme val="minor"/>
      </rPr>
      <t>430-150</t>
    </r>
  </si>
  <si>
    <t>420-520-400</t>
  </si>
  <si>
    <t>570-110-175</t>
  </si>
  <si>
    <t>570-120-155</t>
  </si>
  <si>
    <t>570-270-120</t>
  </si>
  <si>
    <t>570-430-140</t>
  </si>
  <si>
    <t>570-310-140</t>
  </si>
  <si>
    <t>570-300-140</t>
  </si>
  <si>
    <t>570-320-140</t>
  </si>
  <si>
    <t>570-230-120</t>
  </si>
  <si>
    <r>
      <t>570-240</t>
    </r>
    <r>
      <rPr>
        <sz val="11"/>
        <color rgb="FF646464"/>
        <rFont val="Arial"/>
        <family val="2"/>
      </rPr>
      <t>-</t>
    </r>
    <r>
      <rPr>
        <sz val="10"/>
        <color rgb="FF282828"/>
        <rFont val="Calibri"/>
        <family val="2"/>
        <scheme val="minor"/>
      </rPr>
      <t>130</t>
    </r>
  </si>
  <si>
    <t>570-420-140</t>
  </si>
  <si>
    <t>490-100-135</t>
  </si>
  <si>
    <t>480-150-120</t>
  </si>
  <si>
    <t>570-110-165</t>
  </si>
  <si>
    <t>570-120-160</t>
  </si>
  <si>
    <r>
      <t>570</t>
    </r>
    <r>
      <rPr>
        <sz val="10"/>
        <color rgb="FF595959"/>
        <rFont val="Arial"/>
        <family val="2"/>
      </rPr>
      <t>-</t>
    </r>
    <r>
      <rPr>
        <sz val="10"/>
        <color rgb="FF282828"/>
        <rFont val="Calibri"/>
        <family val="2"/>
        <scheme val="minor"/>
      </rPr>
      <t>300-170</t>
    </r>
  </si>
  <si>
    <t>570-310-170</t>
  </si>
  <si>
    <t>570-230-145</t>
  </si>
  <si>
    <r>
      <t>570-240</t>
    </r>
    <r>
      <rPr>
        <sz val="10"/>
        <color rgb="FF595959"/>
        <rFont val="Calibri"/>
        <family val="2"/>
        <scheme val="minor"/>
      </rPr>
      <t>-</t>
    </r>
    <r>
      <rPr>
        <sz val="10"/>
        <color rgb="FF282828"/>
        <rFont val="Calibri"/>
        <family val="2"/>
        <scheme val="minor"/>
      </rPr>
      <t>140</t>
    </r>
  </si>
  <si>
    <t>570-285-150</t>
  </si>
  <si>
    <t>420-520-500</t>
  </si>
  <si>
    <t>450-430-100</t>
  </si>
  <si>
    <t>570-320-160</t>
  </si>
  <si>
    <r>
      <t>570</t>
    </r>
    <r>
      <rPr>
        <sz val="10"/>
        <color rgb="FF444444"/>
        <rFont val="Calibri"/>
        <family val="2"/>
        <scheme val="minor"/>
      </rPr>
      <t>-</t>
    </r>
    <r>
      <rPr>
        <sz val="10"/>
        <color rgb="FF282828"/>
        <rFont val="Calibri"/>
        <family val="2"/>
        <scheme val="minor"/>
      </rPr>
      <t>230-150</t>
    </r>
  </si>
  <si>
    <t>570-290-108</t>
  </si>
  <si>
    <t>570-420-185</t>
  </si>
  <si>
    <t>570-900-140</t>
  </si>
  <si>
    <t>570-290-100</t>
  </si>
  <si>
    <t>490-100-130</t>
  </si>
  <si>
    <t>Total Transfer from Reserves</t>
  </si>
  <si>
    <t>420-600-100</t>
  </si>
  <si>
    <t>420-600-105</t>
  </si>
  <si>
    <t>420-700-100</t>
  </si>
  <si>
    <t>420-700-220</t>
  </si>
  <si>
    <r>
      <t>480-150</t>
    </r>
    <r>
      <rPr>
        <sz val="10"/>
        <color rgb="FF565656"/>
        <rFont val="Arial"/>
        <family val="2"/>
      </rPr>
      <t>-</t>
    </r>
    <r>
      <rPr>
        <sz val="10"/>
        <color rgb="FF282828"/>
        <rFont val="Arial"/>
        <family val="2"/>
      </rPr>
      <t>130</t>
    </r>
  </si>
  <si>
    <t>550-110-110</t>
  </si>
  <si>
    <t>550-120-110</t>
  </si>
  <si>
    <t>550-200-110</t>
  </si>
  <si>
    <t>590-110-150</t>
  </si>
  <si>
    <t>490-100-140</t>
  </si>
  <si>
    <t>420-850-110</t>
  </si>
  <si>
    <t>420-850-120</t>
  </si>
  <si>
    <t>420-850-130</t>
  </si>
  <si>
    <t>420-850-135</t>
  </si>
  <si>
    <t>420-850-140</t>
  </si>
  <si>
    <t>540-110-110</t>
  </si>
  <si>
    <t>540-120-110</t>
  </si>
  <si>
    <t>540-200-110</t>
  </si>
  <si>
    <t>540-200-120</t>
  </si>
  <si>
    <t>540-210-300</t>
  </si>
  <si>
    <t>540-410-100</t>
  </si>
  <si>
    <t>590-110-155</t>
  </si>
  <si>
    <t>490-100-115</t>
  </si>
  <si>
    <t>420-100-100</t>
  </si>
  <si>
    <t>420-200-600</t>
  </si>
  <si>
    <t>420-300-110</t>
  </si>
  <si>
    <t>535-110-120</t>
  </si>
  <si>
    <t>535-120-121</t>
  </si>
  <si>
    <t>535-120-122</t>
  </si>
  <si>
    <t>535-120-123</t>
  </si>
  <si>
    <t>535-120-124</t>
  </si>
  <si>
    <t>535-120-125</t>
  </si>
  <si>
    <t>535-300-110</t>
  </si>
  <si>
    <t>535-300-120</t>
  </si>
  <si>
    <t>535-300-140</t>
  </si>
  <si>
    <t>535-230-100</t>
  </si>
  <si>
    <t>535-240-100</t>
  </si>
  <si>
    <t>535-250-105</t>
  </si>
  <si>
    <t>535-410-100</t>
  </si>
  <si>
    <t>535-410-120</t>
  </si>
  <si>
    <t>535-490-110</t>
  </si>
  <si>
    <t>535-490-120</t>
  </si>
  <si>
    <t>535-250-100</t>
  </si>
  <si>
    <t>590-110-145</t>
  </si>
  <si>
    <t>490-100-155</t>
  </si>
  <si>
    <t>Other Revenues</t>
  </si>
  <si>
    <t>535-110-130</t>
  </si>
  <si>
    <t>535-130-130</t>
  </si>
  <si>
    <t>535-400-150</t>
  </si>
  <si>
    <t>535-600-120</t>
  </si>
  <si>
    <t>590-110-210</t>
  </si>
  <si>
    <t>490-100-150</t>
  </si>
  <si>
    <t>535-110-140</t>
  </si>
  <si>
    <t>535-140-140</t>
  </si>
  <si>
    <t>535-210-110</t>
  </si>
  <si>
    <t>535-430-130</t>
  </si>
  <si>
    <t>535-400-155</t>
  </si>
  <si>
    <t>535-440-100</t>
  </si>
  <si>
    <t>535-460-100</t>
  </si>
  <si>
    <t>535-460-110</t>
  </si>
  <si>
    <t>535-480-100</t>
  </si>
  <si>
    <t>Total Maintenance, Materials and Supplies</t>
  </si>
  <si>
    <t>535-600-699</t>
  </si>
  <si>
    <t>Capital &amp; Reserves:</t>
  </si>
  <si>
    <t>535-600-125</t>
  </si>
  <si>
    <t>590-110-195</t>
  </si>
  <si>
    <t>Total Capital</t>
  </si>
  <si>
    <t>420-100-120</t>
  </si>
  <si>
    <t>535-110-150</t>
  </si>
  <si>
    <t>535-150-150</t>
  </si>
  <si>
    <t>535-210-140</t>
  </si>
  <si>
    <t>535-400-160</t>
  </si>
  <si>
    <t>535-400-165</t>
  </si>
  <si>
    <t>Transfer from Reserves:</t>
  </si>
  <si>
    <t>490-100-160</t>
  </si>
  <si>
    <t>460-500-110</t>
  </si>
  <si>
    <t>Total Fees &amp; Charges</t>
  </si>
  <si>
    <t>530-110-130</t>
  </si>
  <si>
    <t>530-130-130</t>
  </si>
  <si>
    <t>530-290-100</t>
  </si>
  <si>
    <t>530-260-100</t>
  </si>
  <si>
    <t>530-290-101</t>
  </si>
  <si>
    <t>530-400-110</t>
  </si>
  <si>
    <t>530-425-110</t>
  </si>
  <si>
    <t>530-490-106</t>
  </si>
  <si>
    <t>Interest &amp; Loan Payments:</t>
  </si>
  <si>
    <t>535-700-110</t>
  </si>
  <si>
    <t>Total Interest</t>
  </si>
  <si>
    <t>Capital:</t>
  </si>
  <si>
    <t>535-600-140</t>
  </si>
  <si>
    <r>
      <t>590</t>
    </r>
    <r>
      <rPr>
        <sz val="10"/>
        <color rgb="FF505050"/>
        <rFont val="Calibri"/>
        <family val="2"/>
        <scheme val="minor"/>
      </rPr>
      <t>-</t>
    </r>
    <r>
      <rPr>
        <sz val="10"/>
        <color rgb="FF1F1F1F"/>
        <rFont val="Calibri"/>
        <family val="2"/>
        <scheme val="minor"/>
      </rPr>
      <t>110</t>
    </r>
    <r>
      <rPr>
        <sz val="10"/>
        <color rgb="FF505050"/>
        <rFont val="Calibri"/>
        <family val="2"/>
        <scheme val="minor"/>
      </rPr>
      <t>-</t>
    </r>
    <r>
      <rPr>
        <sz val="10"/>
        <color rgb="FF1F1F1F"/>
        <rFont val="Calibri"/>
        <family val="2"/>
        <scheme val="minor"/>
      </rPr>
      <t>170</t>
    </r>
  </si>
  <si>
    <t>Total</t>
  </si>
  <si>
    <t>490-100-170</t>
  </si>
  <si>
    <t>440-110-100</t>
  </si>
  <si>
    <t>440-120-200</t>
  </si>
  <si>
    <t>440-130-100</t>
  </si>
  <si>
    <r>
      <t>440-140</t>
    </r>
    <r>
      <rPr>
        <sz val="10"/>
        <color rgb="FF4F4F4F"/>
        <rFont val="Arial"/>
        <family val="2"/>
      </rPr>
      <t>-</t>
    </r>
    <r>
      <rPr>
        <sz val="10"/>
        <color rgb="FF282828"/>
        <rFont val="Arial"/>
        <family val="2"/>
      </rPr>
      <t>200</t>
    </r>
  </si>
  <si>
    <t>440-140-300</t>
  </si>
  <si>
    <r>
      <t>440</t>
    </r>
    <r>
      <rPr>
        <sz val="10"/>
        <color rgb="FF757575"/>
        <rFont val="Arial"/>
        <family val="2"/>
      </rPr>
      <t>-</t>
    </r>
    <r>
      <rPr>
        <sz val="10"/>
        <color rgb="FF282828"/>
        <rFont val="Arial"/>
        <family val="2"/>
      </rPr>
      <t>160-500</t>
    </r>
  </si>
  <si>
    <t>450-300-100</t>
  </si>
  <si>
    <t>580-110-110</t>
  </si>
  <si>
    <t>580-120-111</t>
  </si>
  <si>
    <t>580-120-112</t>
  </si>
  <si>
    <t>580-120-113</t>
  </si>
  <si>
    <t>580-120-114</t>
  </si>
  <si>
    <t>580-120-115</t>
  </si>
  <si>
    <t>580-285-140</t>
  </si>
  <si>
    <t>580-285-150</t>
  </si>
  <si>
    <t>580-300-110</t>
  </si>
  <si>
    <t>580-300-120</t>
  </si>
  <si>
    <t>580-300-140</t>
  </si>
  <si>
    <t>580-240-100</t>
  </si>
  <si>
    <t>580-250-100</t>
  </si>
  <si>
    <t>580-260-100</t>
  </si>
  <si>
    <t>580-290-100</t>
  </si>
  <si>
    <t>580-400-110</t>
  </si>
  <si>
    <t>580-410-100</t>
  </si>
  <si>
    <t>580-440-100</t>
  </si>
  <si>
    <t>580-440-110</t>
  </si>
  <si>
    <t>580-450-100</t>
  </si>
  <si>
    <t>580-600-699</t>
  </si>
  <si>
    <t>Other Expenses</t>
  </si>
  <si>
    <t>580-230-100</t>
  </si>
  <si>
    <t>580-600-110</t>
  </si>
  <si>
    <t>590-110-175</t>
  </si>
  <si>
    <t xml:space="preserve">Total </t>
  </si>
  <si>
    <t>490-100-180</t>
  </si>
  <si>
    <t>440-220-100</t>
  </si>
  <si>
    <t>440-240-500</t>
  </si>
  <si>
    <t>440-290-900</t>
  </si>
  <si>
    <t>585-110-110</t>
  </si>
  <si>
    <t>585-120-111</t>
  </si>
  <si>
    <t>585-120-112</t>
  </si>
  <si>
    <t>585-120-113</t>
  </si>
  <si>
    <t>585-120-114</t>
  </si>
  <si>
    <t>585-120-115</t>
  </si>
  <si>
    <r>
      <t>585-280</t>
    </r>
    <r>
      <rPr>
        <sz val="10"/>
        <color rgb="FF4D4D4D"/>
        <rFont val="Calibri"/>
        <family val="2"/>
        <scheme val="minor"/>
      </rPr>
      <t>-</t>
    </r>
    <r>
      <rPr>
        <sz val="10"/>
        <color rgb="FF1F1F1F"/>
        <rFont val="Calibri"/>
        <family val="2"/>
        <scheme val="minor"/>
      </rPr>
      <t>100</t>
    </r>
  </si>
  <si>
    <t>585-300-110</t>
  </si>
  <si>
    <t>585-300-120</t>
  </si>
  <si>
    <t>585-300-140</t>
  </si>
  <si>
    <t>585-260-100</t>
  </si>
  <si>
    <t>585-240-100</t>
  </si>
  <si>
    <t>585-290-100</t>
  </si>
  <si>
    <t>585-430-100</t>
  </si>
  <si>
    <t>585-440-100</t>
  </si>
  <si>
    <t>585-450-100</t>
  </si>
  <si>
    <t>585-600-299</t>
  </si>
  <si>
    <t>Interest on Loan Repayments:</t>
  </si>
  <si>
    <t>585-700-110</t>
  </si>
  <si>
    <t>Total Interest on Loan Repayment</t>
  </si>
  <si>
    <t>Capital Purchases &amp; Reserves</t>
  </si>
  <si>
    <t>585-600-130</t>
  </si>
  <si>
    <t>585-700-115</t>
  </si>
  <si>
    <t>590-110-190</t>
  </si>
  <si>
    <t>420-200-900</t>
  </si>
  <si>
    <t>Grants - Capital:</t>
  </si>
  <si>
    <t>Provincial Government - Other Grants</t>
  </si>
  <si>
    <t>Total Grants - Capital</t>
  </si>
  <si>
    <t>530-490-100</t>
  </si>
  <si>
    <t>530-490-110</t>
  </si>
  <si>
    <t>Power - Airport</t>
  </si>
  <si>
    <t>530-490-105</t>
  </si>
  <si>
    <t>Land Development</t>
  </si>
  <si>
    <t>420-850-100</t>
  </si>
  <si>
    <t>560-200-110</t>
  </si>
  <si>
    <t>560-300-120</t>
  </si>
  <si>
    <t>560-210-200</t>
  </si>
  <si>
    <t>Land Sales - Gain:</t>
  </si>
  <si>
    <t>420-200-800</t>
  </si>
  <si>
    <t>Total Land Sales - Gain</t>
  </si>
  <si>
    <t>560-200-130</t>
  </si>
  <si>
    <t>560-210-100</t>
  </si>
  <si>
    <t>560-200-140</t>
  </si>
  <si>
    <t>590-110-205</t>
  </si>
  <si>
    <t>Total Transfer to Reserves</t>
  </si>
  <si>
    <t>*We do have $30,000 in a reserve for a generator for the office that could</t>
  </si>
  <si>
    <t>go towards church renovations.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</si>
</sst>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43" x14ac:knownFonts="1">
    <font>
      <sz val="11"/>
      <color rgb="FF000000"/>
      <name val="Calibri"/>
    </font>
    <font>
      <sz val="11"/>
      <color rgb="FF000000"/>
      <name val="Calibri"/>
    </font>
    <font>
      <sz val="10"/>
      <color rgb="FF000000"/>
      <name val="Calibri"/>
      <family val="2"/>
    </font>
    <font>
      <b/>
      <u/>
      <sz val="10"/>
      <color rgb="FF000000"/>
      <name val="Calibri"/>
      <family val="2"/>
    </font>
    <font>
      <sz val="11"/>
      <color rgb="FF000000"/>
      <name val="Calibri"/>
      <family val="2"/>
    </font>
    <font>
      <sz val="10"/>
      <name val="Calibri"/>
      <family val="2"/>
    </font>
    <font>
      <b/>
      <sz val="10"/>
      <color rgb="FF000000"/>
      <name val="Calibri"/>
      <family val="2"/>
    </font>
    <font>
      <u val="singleAccounting"/>
      <sz val="10"/>
      <color rgb="FF000000"/>
      <name val="Calibri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u/>
      <sz val="10"/>
      <color rgb="FF0000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rgb="FF000000"/>
      <name val="Calibri"/>
      <family val="2"/>
    </font>
    <font>
      <sz val="10"/>
      <color rgb="FF5B5B5B"/>
      <name val="Arial"/>
      <family val="2"/>
    </font>
    <font>
      <sz val="10"/>
      <color rgb="FF282828"/>
      <name val="Calibri"/>
      <family val="2"/>
      <scheme val="minor"/>
    </font>
    <font>
      <sz val="10"/>
      <color rgb="FF5B5B5B"/>
      <name val="Calibri"/>
      <family val="2"/>
      <scheme val="minor"/>
    </font>
    <font>
      <sz val="10"/>
      <color rgb="FF494949"/>
      <name val="Arial"/>
      <family val="2"/>
    </font>
    <font>
      <sz val="10"/>
      <color rgb="FF494949"/>
      <name val="Calibri"/>
      <family val="2"/>
    </font>
    <font>
      <sz val="10"/>
      <color rgb="FF646464"/>
      <name val="Arial"/>
      <family val="2"/>
    </font>
    <font>
      <sz val="11"/>
      <color rgb="FF565656"/>
      <name val="Arial"/>
      <family val="2"/>
    </font>
    <font>
      <sz val="10"/>
      <color rgb="FF464646"/>
      <name val="Calibri"/>
      <family val="2"/>
      <scheme val="minor"/>
    </font>
    <font>
      <sz val="11"/>
      <color rgb="FF696969"/>
      <name val="Arial"/>
      <family val="2"/>
    </font>
    <font>
      <sz val="10"/>
      <color rgb="FF1F1F1F"/>
      <name val="Calibri"/>
      <family val="2"/>
      <scheme val="minor"/>
    </font>
    <font>
      <i/>
      <u/>
      <sz val="10"/>
      <color rgb="FF000000"/>
      <name val="Calibri"/>
      <family val="2"/>
    </font>
    <font>
      <sz val="10"/>
      <color rgb="FF545454"/>
      <name val="Calibri"/>
      <family val="2"/>
      <scheme val="minor"/>
    </font>
    <font>
      <sz val="11"/>
      <color rgb="FF646464"/>
      <name val="Arial"/>
      <family val="2"/>
    </font>
    <font>
      <sz val="10"/>
      <color rgb="FF595959"/>
      <name val="Arial"/>
      <family val="2"/>
    </font>
    <font>
      <sz val="10"/>
      <color rgb="FF595959"/>
      <name val="Calibri"/>
      <family val="2"/>
      <scheme val="minor"/>
    </font>
    <font>
      <sz val="10"/>
      <color rgb="FFFF0000"/>
      <name val="Calibri"/>
      <family val="2"/>
    </font>
    <font>
      <sz val="10"/>
      <color rgb="FF444444"/>
      <name val="Calibri"/>
      <family val="2"/>
      <scheme val="minor"/>
    </font>
    <font>
      <sz val="10"/>
      <color rgb="FF565656"/>
      <name val="Arial"/>
      <family val="2"/>
    </font>
    <font>
      <sz val="10"/>
      <color rgb="FF282828"/>
      <name val="Arial"/>
      <family val="2"/>
    </font>
    <font>
      <sz val="10"/>
      <color rgb="FF505050"/>
      <name val="Calibri"/>
      <family val="2"/>
      <scheme val="minor"/>
    </font>
    <font>
      <sz val="10"/>
      <color rgb="FF1F1F1F"/>
      <name val="Arial"/>
      <family val="2"/>
    </font>
    <font>
      <sz val="10"/>
      <color rgb="FF4F4F4F"/>
      <name val="Arial"/>
      <family val="2"/>
    </font>
    <font>
      <sz val="10"/>
      <color rgb="FF757575"/>
      <name val="Arial"/>
      <family val="2"/>
    </font>
    <font>
      <b/>
      <sz val="10"/>
      <name val="Calibri"/>
      <family val="2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sz val="10"/>
      <color rgb="FF4D4D4D"/>
      <name val="Calibri"/>
      <family val="2"/>
      <scheme val="minor"/>
    </font>
    <font>
      <sz val="10"/>
      <color rgb="FF26262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4">
    <xf numFmtId="0" fontId="0" fillId="0" borderId="0" applyAlignment="0"/>
    <xf numFmtId="164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 applyAlignment="0"/>
  </cellStyleXfs>
  <cellXfs count="24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0" xfId="0" applyFont="1"/>
    <xf numFmtId="0" fontId="2" fillId="2" borderId="0" xfId="0" applyFont="1" applyFill="1"/>
    <xf numFmtId="0" fontId="2" fillId="0" borderId="0" xfId="0" applyFont="1" applyAlignment="1">
      <alignment indent="1"/>
    </xf>
    <xf numFmtId="165" fontId="5" fillId="0" borderId="0" xfId="1" applyNumberFormat="1" applyFont="1" applyFill="1"/>
    <xf numFmtId="165" fontId="4" fillId="0" borderId="0" xfId="1" applyNumberFormat="1" applyFont="1" applyFill="1" applyAlignment="1">
      <alignment vertical="center"/>
    </xf>
    <xf numFmtId="165" fontId="5" fillId="2" borderId="0" xfId="1" applyNumberFormat="1" applyFont="1" applyFill="1"/>
    <xf numFmtId="165" fontId="4" fillId="2" borderId="0" xfId="1" applyNumberFormat="1" applyFont="1" applyFill="1" applyAlignment="1">
      <alignment vertical="center"/>
    </xf>
    <xf numFmtId="164" fontId="2" fillId="0" borderId="0" xfId="0" applyNumberFormat="1" applyFont="1"/>
    <xf numFmtId="165" fontId="2" fillId="0" borderId="0" xfId="1" applyNumberFormat="1" applyFont="1" applyFill="1"/>
    <xf numFmtId="165" fontId="2" fillId="2" borderId="0" xfId="1" applyNumberFormat="1" applyFont="1" applyFill="1"/>
    <xf numFmtId="0" fontId="6" fillId="0" borderId="0" xfId="0" applyFont="1"/>
    <xf numFmtId="165" fontId="6" fillId="0" borderId="2" xfId="1" applyNumberFormat="1" applyFont="1" applyFill="1" applyBorder="1"/>
    <xf numFmtId="165" fontId="6" fillId="2" borderId="2" xfId="1" applyNumberFormat="1" applyFont="1" applyFill="1" applyBorder="1"/>
    <xf numFmtId="165" fontId="2" fillId="0" borderId="0" xfId="1" applyNumberFormat="1" applyFont="1"/>
    <xf numFmtId="43" fontId="2" fillId="0" borderId="0" xfId="0" applyNumberFormat="1" applyFont="1"/>
    <xf numFmtId="165" fontId="3" fillId="0" borderId="0" xfId="1" applyNumberFormat="1" applyFont="1"/>
    <xf numFmtId="165" fontId="2" fillId="0" borderId="0" xfId="0" applyNumberFormat="1" applyFont="1"/>
    <xf numFmtId="164" fontId="2" fillId="0" borderId="0" xfId="1" applyFont="1"/>
    <xf numFmtId="165" fontId="2" fillId="0" borderId="0" xfId="1" applyNumberFormat="1" applyFont="1" applyFill="1" applyAlignment="1">
      <alignment vertical="center"/>
    </xf>
    <xf numFmtId="165" fontId="2" fillId="2" borderId="0" xfId="1" applyNumberFormat="1" applyFont="1" applyFill="1" applyAlignment="1">
      <alignment vertical="center"/>
    </xf>
    <xf numFmtId="9" fontId="2" fillId="0" borderId="0" xfId="2" applyFont="1"/>
    <xf numFmtId="0" fontId="2" fillId="3" borderId="0" xfId="0" applyFont="1" applyFill="1" applyAlignment="1">
      <alignment indent="1"/>
    </xf>
    <xf numFmtId="165" fontId="2" fillId="3" borderId="0" xfId="1" applyNumberFormat="1" applyFont="1" applyFill="1"/>
    <xf numFmtId="165" fontId="6" fillId="0" borderId="2" xfId="1" applyNumberFormat="1" applyFont="1" applyBorder="1"/>
    <xf numFmtId="164" fontId="5" fillId="0" borderId="0" xfId="0" applyNumberFormat="1" applyFont="1"/>
    <xf numFmtId="0" fontId="2" fillId="0" borderId="1" xfId="0" applyFont="1" applyBorder="1"/>
    <xf numFmtId="164" fontId="7" fillId="0" borderId="0" xfId="1" applyFont="1"/>
    <xf numFmtId="0" fontId="6" fillId="0" borderId="0" xfId="0" applyFont="1" applyAlignment="1">
      <alignment horizontal="left"/>
    </xf>
    <xf numFmtId="0" fontId="3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indent="2"/>
    </xf>
    <xf numFmtId="165" fontId="2" fillId="0" borderId="2" xfId="1" applyNumberFormat="1" applyFont="1" applyFill="1" applyBorder="1" applyAlignment="1">
      <alignment horizontal="center"/>
    </xf>
    <xf numFmtId="165" fontId="2" fillId="2" borderId="2" xfId="1" applyNumberFormat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165" fontId="2" fillId="0" borderId="0" xfId="0" applyNumberFormat="1" applyFont="1" applyAlignment="1">
      <alignment horizontal="center"/>
    </xf>
    <xf numFmtId="165" fontId="2" fillId="2" borderId="0" xfId="0" applyNumberFormat="1" applyFont="1" applyFill="1" applyAlignment="1">
      <alignment horizontal="center"/>
    </xf>
    <xf numFmtId="0" fontId="2" fillId="0" borderId="0" xfId="0" applyFont="1" applyAlignment="1"/>
    <xf numFmtId="165" fontId="2" fillId="2" borderId="0" xfId="0" applyNumberFormat="1" applyFont="1" applyFill="1"/>
    <xf numFmtId="165" fontId="2" fillId="0" borderId="2" xfId="1" applyNumberFormat="1" applyFont="1" applyFill="1" applyBorder="1"/>
    <xf numFmtId="165" fontId="2" fillId="2" borderId="2" xfId="1" applyNumberFormat="1" applyFont="1" applyFill="1" applyBorder="1"/>
    <xf numFmtId="165" fontId="2" fillId="0" borderId="0" xfId="1" applyNumberFormat="1" applyFont="1" applyFill="1" applyBorder="1"/>
    <xf numFmtId="165" fontId="2" fillId="2" borderId="0" xfId="1" applyNumberFormat="1" applyFont="1" applyFill="1" applyBorder="1"/>
    <xf numFmtId="0" fontId="6" fillId="0" borderId="0" xfId="0" applyFont="1" applyAlignment="1">
      <alignment horizontal="center"/>
    </xf>
    <xf numFmtId="165" fontId="6" fillId="0" borderId="0" xfId="1" applyNumberFormat="1" applyFont="1" applyFill="1" applyBorder="1"/>
    <xf numFmtId="165" fontId="6" fillId="2" borderId="0" xfId="1" applyNumberFormat="1" applyFont="1" applyFill="1" applyBorder="1"/>
    <xf numFmtId="0" fontId="2" fillId="0" borderId="0" xfId="0" applyFont="1" applyAlignment="1">
      <alignment horizontal="left" indent="1"/>
    </xf>
    <xf numFmtId="0" fontId="2" fillId="0" borderId="0" xfId="0" applyFont="1" applyAlignment="1">
      <alignment horizontal="left" indent="3"/>
    </xf>
    <xf numFmtId="164" fontId="2" fillId="0" borderId="0" xfId="1" applyFont="1" applyFill="1"/>
    <xf numFmtId="164" fontId="2" fillId="2" borderId="0" xfId="1" applyFont="1" applyFill="1"/>
    <xf numFmtId="0" fontId="6" fillId="0" borderId="0" xfId="0" applyFont="1" applyAlignment="1"/>
    <xf numFmtId="165" fontId="2" fillId="0" borderId="2" xfId="1" applyNumberFormat="1" applyFont="1" applyBorder="1"/>
    <xf numFmtId="165" fontId="7" fillId="0" borderId="0" xfId="1" applyNumberFormat="1" applyFont="1"/>
    <xf numFmtId="165" fontId="7" fillId="0" borderId="0" xfId="1" applyNumberFormat="1" applyFont="1" applyFill="1"/>
    <xf numFmtId="165" fontId="7" fillId="2" borderId="0" xfId="1" applyNumberFormat="1" applyFont="1" applyFill="1"/>
    <xf numFmtId="0" fontId="2" fillId="4" borderId="0" xfId="0" applyFont="1" applyFill="1" applyAlignment="1"/>
    <xf numFmtId="0" fontId="2" fillId="4" borderId="0" xfId="0" applyFont="1" applyFill="1"/>
    <xf numFmtId="165" fontId="2" fillId="4" borderId="0" xfId="1" applyNumberFormat="1" applyFont="1" applyFill="1"/>
    <xf numFmtId="165" fontId="6" fillId="0" borderId="3" xfId="1" applyNumberFormat="1" applyFont="1" applyBorder="1"/>
    <xf numFmtId="165" fontId="6" fillId="0" borderId="3" xfId="1" applyNumberFormat="1" applyFont="1" applyFill="1" applyBorder="1"/>
    <xf numFmtId="165" fontId="6" fillId="2" borderId="3" xfId="1" applyNumberFormat="1" applyFont="1" applyFill="1" applyBorder="1"/>
    <xf numFmtId="165" fontId="6" fillId="0" borderId="4" xfId="1" applyNumberFormat="1" applyFont="1" applyFill="1" applyBorder="1"/>
    <xf numFmtId="165" fontId="6" fillId="2" borderId="4" xfId="1" applyNumberFormat="1" applyFont="1" applyFill="1" applyBorder="1"/>
    <xf numFmtId="15" fontId="2" fillId="0" borderId="0" xfId="0" applyNumberFormat="1" applyFont="1" applyAlignment="1">
      <alignment horizontal="center"/>
    </xf>
    <xf numFmtId="164" fontId="6" fillId="0" borderId="0" xfId="1" applyFont="1" applyBorder="1"/>
    <xf numFmtId="165" fontId="2" fillId="0" borderId="0" xfId="1" applyNumberFormat="1" applyFont="1" applyBorder="1"/>
    <xf numFmtId="0" fontId="6" fillId="0" borderId="0" xfId="0" applyFont="1" applyAlignment="1">
      <alignment horizontal="left"/>
    </xf>
    <xf numFmtId="165" fontId="6" fillId="0" borderId="0" xfId="1" applyNumberFormat="1" applyFont="1" applyAlignment="1">
      <alignment horizontal="left"/>
    </xf>
    <xf numFmtId="164" fontId="13" fillId="0" borderId="0" xfId="1" applyFont="1" applyBorder="1"/>
    <xf numFmtId="39" fontId="13" fillId="0" borderId="0" xfId="0" applyNumberFormat="1" applyFont="1"/>
    <xf numFmtId="0" fontId="13" fillId="0" borderId="0" xfId="0" applyFont="1" applyAlignment="1">
      <alignment horizontal="left"/>
    </xf>
    <xf numFmtId="165" fontId="2" fillId="0" borderId="0" xfId="1" applyNumberFormat="1" applyFont="1" applyBorder="1" applyAlignment="1">
      <alignment horizontal="left"/>
    </xf>
    <xf numFmtId="0" fontId="13" fillId="0" borderId="0" xfId="0" applyFont="1"/>
    <xf numFmtId="164" fontId="2" fillId="0" borderId="0" xfId="1" applyFont="1" applyBorder="1"/>
    <xf numFmtId="39" fontId="2" fillId="0" borderId="0" xfId="0" applyNumberFormat="1" applyFont="1"/>
    <xf numFmtId="165" fontId="2" fillId="0" borderId="1" xfId="1" applyNumberFormat="1" applyFont="1" applyBorder="1"/>
    <xf numFmtId="165" fontId="2" fillId="0" borderId="1" xfId="1" applyNumberFormat="1" applyFont="1" applyFill="1" applyBorder="1"/>
    <xf numFmtId="165" fontId="2" fillId="2" borderId="1" xfId="1" applyNumberFormat="1" applyFont="1" applyFill="1" applyBorder="1"/>
    <xf numFmtId="165" fontId="2" fillId="0" borderId="1" xfId="1" applyNumberFormat="1" applyFont="1" applyBorder="1" applyAlignment="1">
      <alignment horizontal="left"/>
    </xf>
    <xf numFmtId="165" fontId="6" fillId="0" borderId="0" xfId="1" applyNumberFormat="1" applyFont="1" applyBorder="1"/>
    <xf numFmtId="165" fontId="2" fillId="0" borderId="0" xfId="1" applyNumberFormat="1" applyFont="1" applyFill="1" applyBorder="1" applyAlignment="1">
      <alignment horizontal="left"/>
    </xf>
    <xf numFmtId="165" fontId="2" fillId="2" borderId="0" xfId="1" applyNumberFormat="1" applyFont="1" applyFill="1" applyBorder="1" applyAlignment="1">
      <alignment horizontal="left"/>
    </xf>
    <xf numFmtId="165" fontId="2" fillId="0" borderId="3" xfId="1" applyNumberFormat="1" applyFont="1" applyFill="1" applyBorder="1"/>
    <xf numFmtId="165" fontId="2" fillId="2" borderId="3" xfId="1" applyNumberFormat="1" applyFont="1" applyFill="1" applyBorder="1"/>
    <xf numFmtId="165" fontId="2" fillId="0" borderId="3" xfId="1" applyNumberFormat="1" applyFont="1" applyBorder="1"/>
    <xf numFmtId="165" fontId="2" fillId="0" borderId="0" xfId="1" applyNumberFormat="1" applyFont="1" applyBorder="1" applyAlignment="1">
      <alignment horizontal="left" indent="1"/>
    </xf>
    <xf numFmtId="165" fontId="2" fillId="0" borderId="0" xfId="1" applyNumberFormat="1" applyFont="1" applyFill="1" applyBorder="1" applyAlignment="1">
      <alignment horizontal="left" indent="1"/>
    </xf>
    <xf numFmtId="165" fontId="2" fillId="2" borderId="0" xfId="1" applyNumberFormat="1" applyFont="1" applyFill="1" applyBorder="1" applyAlignment="1">
      <alignment horizontal="left" indent="1"/>
    </xf>
    <xf numFmtId="165" fontId="2" fillId="0" borderId="0" xfId="1" applyNumberFormat="1" applyFont="1" applyBorder="1" applyAlignment="1">
      <alignment indent="1"/>
    </xf>
    <xf numFmtId="165" fontId="2" fillId="0" borderId="0" xfId="1" applyNumberFormat="1" applyFont="1" applyFill="1" applyBorder="1" applyAlignment="1">
      <alignment indent="1"/>
    </xf>
    <xf numFmtId="165" fontId="2" fillId="2" borderId="0" xfId="1" applyNumberFormat="1" applyFont="1" applyFill="1" applyBorder="1" applyAlignment="1">
      <alignment indent="1"/>
    </xf>
    <xf numFmtId="165" fontId="2" fillId="4" borderId="0" xfId="1" applyNumberFormat="1" applyFont="1" applyFill="1" applyBorder="1" applyAlignment="1"/>
    <xf numFmtId="165" fontId="2" fillId="0" borderId="4" xfId="1" applyNumberFormat="1" applyFont="1" applyBorder="1"/>
    <xf numFmtId="165" fontId="2" fillId="0" borderId="4" xfId="1" applyNumberFormat="1" applyFont="1" applyFill="1" applyBorder="1"/>
    <xf numFmtId="165" fontId="2" fillId="2" borderId="4" xfId="1" applyNumberFormat="1" applyFont="1" applyFill="1" applyBorder="1"/>
    <xf numFmtId="0" fontId="2" fillId="5" borderId="0" xfId="0" applyFont="1" applyFill="1"/>
    <xf numFmtId="0" fontId="2" fillId="2" borderId="0" xfId="0" applyFont="1" applyFill="1" applyAlignment="1"/>
    <xf numFmtId="39" fontId="6" fillId="0" borderId="0" xfId="0" applyNumberFormat="1" applyFont="1"/>
    <xf numFmtId="165" fontId="6" fillId="0" borderId="4" xfId="1" applyNumberFormat="1" applyFont="1" applyFill="1" applyBorder="1" applyAlignment="1">
      <alignment horizontal="left"/>
    </xf>
    <xf numFmtId="165" fontId="6" fillId="2" borderId="4" xfId="1" applyNumberFormat="1" applyFont="1" applyFill="1" applyBorder="1" applyAlignment="1">
      <alignment horizontal="left"/>
    </xf>
    <xf numFmtId="0" fontId="2" fillId="0" borderId="0" xfId="0" applyFont="1" applyAlignment="1">
      <alignment horizontal="center" vertical="center"/>
    </xf>
    <xf numFmtId="165" fontId="2" fillId="0" borderId="0" xfId="1" applyNumberFormat="1" applyFont="1" applyFill="1" applyBorder="1" applyAlignment="1">
      <alignment horizontal="center" vertical="center"/>
    </xf>
    <xf numFmtId="165" fontId="2" fillId="0" borderId="0" xfId="1" applyNumberFormat="1" applyFont="1" applyFill="1" applyBorder="1" applyAlignment="1">
      <alignment horizontal="center"/>
    </xf>
    <xf numFmtId="165" fontId="2" fillId="2" borderId="0" xfId="1" applyNumberFormat="1" applyFont="1" applyFill="1" applyBorder="1" applyAlignment="1">
      <alignment horizontal="center"/>
    </xf>
    <xf numFmtId="165" fontId="2" fillId="0" borderId="2" xfId="1" applyNumberFormat="1" applyFont="1" applyFill="1" applyBorder="1" applyAlignment="1">
      <alignment horizontal="center" vertical="center"/>
    </xf>
    <xf numFmtId="165" fontId="2" fillId="0" borderId="0" xfId="1" applyNumberFormat="1" applyFont="1" applyAlignment="1"/>
    <xf numFmtId="165" fontId="5" fillId="0" borderId="0" xfId="1" applyNumberFormat="1" applyFont="1" applyFill="1" applyAlignment="1"/>
    <xf numFmtId="165" fontId="2" fillId="0" borderId="1" xfId="1" applyNumberFormat="1" applyFont="1" applyBorder="1" applyAlignment="1"/>
    <xf numFmtId="165" fontId="5" fillId="0" borderId="1" xfId="1" applyNumberFormat="1" applyFont="1" applyFill="1" applyBorder="1" applyAlignment="1"/>
    <xf numFmtId="165" fontId="2" fillId="0" borderId="0" xfId="1" applyNumberFormat="1" applyFont="1" applyFill="1" applyAlignment="1"/>
    <xf numFmtId="165" fontId="6" fillId="0" borderId="4" xfId="1" applyNumberFormat="1" applyFont="1" applyBorder="1"/>
    <xf numFmtId="165" fontId="2" fillId="0" borderId="2" xfId="0" applyNumberFormat="1" applyFont="1" applyBorder="1" applyAlignment="1">
      <alignment horizontal="center" vertical="center"/>
    </xf>
    <xf numFmtId="165" fontId="2" fillId="2" borderId="2" xfId="0" applyNumberFormat="1" applyFont="1" applyFill="1" applyBorder="1" applyAlignment="1">
      <alignment horizontal="center" vertical="center"/>
    </xf>
    <xf numFmtId="165" fontId="2" fillId="0" borderId="0" xfId="1" applyNumberFormat="1" applyFont="1" applyBorder="1" applyAlignment="1"/>
    <xf numFmtId="165" fontId="2" fillId="0" borderId="0" xfId="1" applyNumberFormat="1" applyFont="1" applyFill="1" applyBorder="1" applyAlignment="1"/>
    <xf numFmtId="164" fontId="2" fillId="0" borderId="2" xfId="0" applyNumberFormat="1" applyFont="1" applyBorder="1"/>
    <xf numFmtId="164" fontId="2" fillId="2" borderId="2" xfId="0" applyNumberFormat="1" applyFont="1" applyFill="1" applyBorder="1"/>
    <xf numFmtId="164" fontId="2" fillId="0" borderId="0" xfId="0" applyNumberFormat="1" applyFont="1" applyAlignment="1"/>
    <xf numFmtId="165" fontId="2" fillId="0" borderId="3" xfId="1" applyNumberFormat="1" applyFont="1" applyBorder="1" applyAlignment="1"/>
    <xf numFmtId="165" fontId="2" fillId="2" borderId="3" xfId="1" applyNumberFormat="1" applyFont="1" applyFill="1" applyBorder="1" applyAlignment="1"/>
    <xf numFmtId="165" fontId="2" fillId="0" borderId="3" xfId="1" applyNumberFormat="1" applyFont="1" applyFill="1" applyBorder="1" applyAlignment="1"/>
    <xf numFmtId="165" fontId="2" fillId="0" borderId="2" xfId="0" applyNumberFormat="1" applyFont="1" applyBorder="1"/>
    <xf numFmtId="165" fontId="2" fillId="2" borderId="2" xfId="0" applyNumberFormat="1" applyFont="1" applyFill="1" applyBorder="1"/>
    <xf numFmtId="164" fontId="2" fillId="0" borderId="2" xfId="1" applyFont="1" applyBorder="1"/>
    <xf numFmtId="164" fontId="2" fillId="2" borderId="2" xfId="1" applyFont="1" applyFill="1" applyBorder="1"/>
    <xf numFmtId="164" fontId="2" fillId="0" borderId="2" xfId="1" applyFont="1" applyFill="1" applyBorder="1"/>
    <xf numFmtId="0" fontId="10" fillId="2" borderId="0" xfId="0" applyFont="1" applyFill="1"/>
    <xf numFmtId="165" fontId="2" fillId="0" borderId="3" xfId="1" applyNumberFormat="1" applyFont="1" applyBorder="1" applyAlignment="1">
      <alignment horizontal="left" indent="2"/>
    </xf>
    <xf numFmtId="165" fontId="2" fillId="2" borderId="3" xfId="1" applyNumberFormat="1" applyFont="1" applyFill="1" applyBorder="1" applyAlignment="1">
      <alignment horizontal="left" indent="2"/>
    </xf>
    <xf numFmtId="165" fontId="2" fillId="0" borderId="3" xfId="1" applyNumberFormat="1" applyFont="1" applyFill="1" applyBorder="1" applyAlignment="1">
      <alignment horizontal="left" indent="2"/>
    </xf>
    <xf numFmtId="165" fontId="2" fillId="0" borderId="0" xfId="1" applyNumberFormat="1" applyFont="1" applyBorder="1" applyAlignment="1">
      <alignment horizontal="center"/>
    </xf>
    <xf numFmtId="0" fontId="6" fillId="0" borderId="0" xfId="0" applyFont="1" applyAlignment="1">
      <alignment horizontal="left" indent="2"/>
    </xf>
    <xf numFmtId="165" fontId="2" fillId="4" borderId="0" xfId="1" applyNumberFormat="1" applyFont="1" applyFill="1" applyBorder="1"/>
    <xf numFmtId="165" fontId="2" fillId="0" borderId="0" xfId="1" applyNumberFormat="1" applyFont="1" applyBorder="1" applyAlignment="1">
      <alignment horizontal="left" vertical="center"/>
    </xf>
    <xf numFmtId="165" fontId="2" fillId="0" borderId="0" xfId="1" applyNumberFormat="1" applyFont="1" applyFill="1" applyBorder="1" applyAlignment="1">
      <alignment horizontal="left" vertical="center"/>
    </xf>
    <xf numFmtId="165" fontId="2" fillId="4" borderId="0" xfId="1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165" fontId="2" fillId="2" borderId="0" xfId="1" applyNumberFormat="1" applyFont="1" applyFill="1" applyBorder="1" applyAlignment="1">
      <alignment horizontal="left" vertical="center"/>
    </xf>
    <xf numFmtId="15" fontId="2" fillId="0" borderId="0" xfId="0" applyNumberFormat="1" applyFont="1" applyAlignment="1">
      <alignment horizontal="left"/>
    </xf>
    <xf numFmtId="165" fontId="2" fillId="0" borderId="1" xfId="1" applyNumberFormat="1" applyFont="1" applyFill="1" applyBorder="1" applyAlignment="1">
      <alignment horizontal="left"/>
    </xf>
    <xf numFmtId="165" fontId="2" fillId="0" borderId="2" xfId="0" applyNumberFormat="1" applyFont="1" applyBorder="1" applyAlignment="1">
      <alignment horizontal="left"/>
    </xf>
    <xf numFmtId="165" fontId="2" fillId="2" borderId="2" xfId="0" applyNumberFormat="1" applyFont="1" applyFill="1" applyBorder="1" applyAlignment="1">
      <alignment horizontal="left"/>
    </xf>
    <xf numFmtId="0" fontId="2" fillId="0" borderId="2" xfId="0" applyFont="1" applyBorder="1" applyAlignment="1">
      <alignment horizontal="left"/>
    </xf>
    <xf numFmtId="164" fontId="6" fillId="0" borderId="0" xfId="1" applyFont="1" applyBorder="1" applyAlignment="1">
      <alignment horizontal="left"/>
    </xf>
    <xf numFmtId="165" fontId="6" fillId="0" borderId="0" xfId="1" applyNumberFormat="1" applyFont="1" applyBorder="1" applyAlignment="1">
      <alignment horizontal="left"/>
    </xf>
    <xf numFmtId="165" fontId="6" fillId="2" borderId="0" xfId="1" applyNumberFormat="1" applyFont="1" applyFill="1" applyBorder="1" applyAlignment="1">
      <alignment horizontal="left"/>
    </xf>
    <xf numFmtId="165" fontId="6" fillId="0" borderId="0" xfId="1" applyNumberFormat="1" applyFont="1" applyFill="1" applyBorder="1" applyAlignment="1">
      <alignment horizontal="left"/>
    </xf>
    <xf numFmtId="39" fontId="2" fillId="0" borderId="0" xfId="0" applyNumberFormat="1" applyFont="1" applyAlignment="1">
      <alignment horizontal="left"/>
    </xf>
    <xf numFmtId="164" fontId="2" fillId="0" borderId="1" xfId="1" applyFont="1" applyBorder="1" applyAlignment="1">
      <alignment horizontal="left"/>
    </xf>
    <xf numFmtId="165" fontId="2" fillId="2" borderId="1" xfId="1" applyNumberFormat="1" applyFont="1" applyFill="1" applyBorder="1" applyAlignment="1">
      <alignment horizontal="left"/>
    </xf>
    <xf numFmtId="165" fontId="2" fillId="0" borderId="2" xfId="1" applyNumberFormat="1" applyFont="1" applyBorder="1" applyAlignment="1">
      <alignment horizontal="left"/>
    </xf>
    <xf numFmtId="165" fontId="2" fillId="0" borderId="2" xfId="1" applyNumberFormat="1" applyFont="1" applyFill="1" applyBorder="1" applyAlignment="1">
      <alignment horizontal="left"/>
    </xf>
    <xf numFmtId="165" fontId="2" fillId="5" borderId="0" xfId="1" applyNumberFormat="1" applyFont="1" applyFill="1"/>
    <xf numFmtId="164" fontId="2" fillId="0" borderId="0" xfId="1" applyFont="1" applyBorder="1" applyAlignment="1">
      <alignment horizontal="left"/>
    </xf>
    <xf numFmtId="165" fontId="2" fillId="2" borderId="2" xfId="1" applyNumberFormat="1" applyFont="1" applyFill="1" applyBorder="1" applyAlignment="1">
      <alignment horizontal="left"/>
    </xf>
    <xf numFmtId="0" fontId="2" fillId="5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165" fontId="2" fillId="0" borderId="0" xfId="1" applyNumberFormat="1" applyFont="1" applyAlignment="1">
      <alignment horizontal="left"/>
    </xf>
    <xf numFmtId="0" fontId="0" fillId="0" borderId="0" xfId="0" applyAlignment="1"/>
    <xf numFmtId="164" fontId="2" fillId="0" borderId="0" xfId="1" applyFont="1" applyBorder="1" applyAlignment="1"/>
    <xf numFmtId="165" fontId="6" fillId="0" borderId="2" xfId="1" applyNumberFormat="1" applyFont="1" applyBorder="1" applyAlignment="1">
      <alignment horizontal="left"/>
    </xf>
    <xf numFmtId="165" fontId="6" fillId="2" borderId="2" xfId="1" applyNumberFormat="1" applyFont="1" applyFill="1" applyBorder="1" applyAlignment="1">
      <alignment horizontal="left"/>
    </xf>
    <xf numFmtId="165" fontId="6" fillId="0" borderId="2" xfId="1" applyNumberFormat="1" applyFont="1" applyFill="1" applyBorder="1" applyAlignment="1">
      <alignment horizontal="left"/>
    </xf>
    <xf numFmtId="165" fontId="2" fillId="4" borderId="0" xfId="1" applyNumberFormat="1" applyFont="1" applyFill="1" applyBorder="1" applyAlignment="1">
      <alignment horizontal="left"/>
    </xf>
    <xf numFmtId="10" fontId="2" fillId="0" borderId="0" xfId="2" applyNumberFormat="1" applyFont="1"/>
    <xf numFmtId="0" fontId="24" fillId="0" borderId="0" xfId="0" applyFont="1" applyAlignment="1"/>
    <xf numFmtId="0" fontId="3" fillId="2" borderId="0" xfId="0" applyFont="1" applyFill="1"/>
    <xf numFmtId="165" fontId="2" fillId="0" borderId="0" xfId="0" applyNumberFormat="1" applyFont="1" applyAlignment="1">
      <alignment horizontal="left"/>
    </xf>
    <xf numFmtId="165" fontId="2" fillId="2" borderId="0" xfId="0" applyNumberFormat="1" applyFont="1" applyFill="1" applyAlignment="1">
      <alignment horizontal="left"/>
    </xf>
    <xf numFmtId="165" fontId="6" fillId="0" borderId="0" xfId="1" applyNumberFormat="1" applyFont="1"/>
    <xf numFmtId="165" fontId="6" fillId="2" borderId="0" xfId="1" applyNumberFormat="1" applyFont="1" applyFill="1"/>
    <xf numFmtId="165" fontId="6" fillId="0" borderId="0" xfId="1" applyNumberFormat="1" applyFont="1" applyFill="1"/>
    <xf numFmtId="164" fontId="2" fillId="0" borderId="0" xfId="1" applyFont="1" applyBorder="1" applyAlignment="1">
      <alignment horizontal="center"/>
    </xf>
    <xf numFmtId="165" fontId="2" fillId="0" borderId="3" xfId="1" applyNumberFormat="1" applyFont="1" applyBorder="1" applyAlignment="1">
      <alignment horizontal="center"/>
    </xf>
    <xf numFmtId="165" fontId="2" fillId="2" borderId="3" xfId="1" applyNumberFormat="1" applyFont="1" applyFill="1" applyBorder="1" applyAlignment="1">
      <alignment horizontal="center"/>
    </xf>
    <xf numFmtId="165" fontId="2" fillId="0" borderId="3" xfId="1" applyNumberFormat="1" applyFont="1" applyFill="1" applyBorder="1" applyAlignment="1">
      <alignment horizontal="center"/>
    </xf>
    <xf numFmtId="0" fontId="29" fillId="0" borderId="0" xfId="0" applyFont="1"/>
    <xf numFmtId="39" fontId="2" fillId="2" borderId="0" xfId="0" applyNumberFormat="1" applyFont="1" applyFill="1"/>
    <xf numFmtId="0" fontId="2" fillId="0" borderId="0" xfId="3" applyFont="1"/>
    <xf numFmtId="165" fontId="2" fillId="5" borderId="0" xfId="1" applyNumberFormat="1" applyFont="1" applyFill="1" applyBorder="1"/>
    <xf numFmtId="0" fontId="2" fillId="3" borderId="0" xfId="0" applyFont="1" applyFill="1"/>
    <xf numFmtId="165" fontId="2" fillId="3" borderId="0" xfId="1" applyNumberFormat="1" applyFont="1" applyFill="1" applyBorder="1"/>
    <xf numFmtId="165" fontId="2" fillId="2" borderId="0" xfId="1" applyNumberFormat="1" applyFont="1" applyFill="1" applyBorder="1" applyAlignment="1"/>
    <xf numFmtId="0" fontId="23" fillId="0" borderId="0" xfId="0" applyFont="1"/>
    <xf numFmtId="0" fontId="15" fillId="0" borderId="0" xfId="0" applyFont="1"/>
    <xf numFmtId="164" fontId="2" fillId="0" borderId="0" xfId="0" applyNumberFormat="1" applyFont="1" applyAlignment="1">
      <alignment horizontal="left"/>
    </xf>
    <xf numFmtId="0" fontId="23" fillId="3" borderId="0" xfId="0" applyFont="1" applyFill="1"/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34" fillId="0" borderId="0" xfId="0" applyFont="1"/>
    <xf numFmtId="0" fontId="32" fillId="0" borderId="0" xfId="0" applyFont="1"/>
    <xf numFmtId="165" fontId="37" fillId="0" borderId="3" xfId="1" applyNumberFormat="1" applyFont="1" applyBorder="1"/>
    <xf numFmtId="165" fontId="37" fillId="2" borderId="3" xfId="1" applyNumberFormat="1" applyFont="1" applyFill="1" applyBorder="1"/>
    <xf numFmtId="165" fontId="37" fillId="0" borderId="3" xfId="1" applyNumberFormat="1" applyFont="1" applyFill="1" applyBorder="1"/>
    <xf numFmtId="165" fontId="37" fillId="0" borderId="2" xfId="1" applyNumberFormat="1" applyFont="1" applyBorder="1"/>
    <xf numFmtId="165" fontId="37" fillId="2" borderId="2" xfId="1" applyNumberFormat="1" applyFont="1" applyFill="1" applyBorder="1"/>
    <xf numFmtId="165" fontId="37" fillId="0" borderId="2" xfId="1" applyNumberFormat="1" applyFont="1" applyFill="1" applyBorder="1"/>
    <xf numFmtId="165" fontId="37" fillId="0" borderId="0" xfId="1" applyNumberFormat="1" applyFont="1" applyBorder="1"/>
    <xf numFmtId="165" fontId="37" fillId="2" borderId="0" xfId="1" applyNumberFormat="1" applyFont="1" applyFill="1" applyBorder="1"/>
    <xf numFmtId="165" fontId="37" fillId="0" borderId="0" xfId="1" applyNumberFormat="1" applyFont="1" applyFill="1" applyBorder="1"/>
    <xf numFmtId="165" fontId="37" fillId="0" borderId="0" xfId="1" applyNumberFormat="1" applyFont="1"/>
    <xf numFmtId="165" fontId="37" fillId="2" borderId="0" xfId="1" applyNumberFormat="1" applyFont="1" applyFill="1"/>
    <xf numFmtId="165" fontId="37" fillId="0" borderId="0" xfId="1" applyNumberFormat="1" applyFont="1" applyFill="1"/>
    <xf numFmtId="165" fontId="5" fillId="0" borderId="0" xfId="1" applyNumberFormat="1" applyFont="1"/>
    <xf numFmtId="0" fontId="34" fillId="3" borderId="0" xfId="0" applyFont="1" applyFill="1"/>
    <xf numFmtId="165" fontId="37" fillId="0" borderId="4" xfId="1" applyNumberFormat="1" applyFont="1" applyFill="1" applyBorder="1"/>
    <xf numFmtId="165" fontId="37" fillId="2" borderId="4" xfId="1" applyNumberFormat="1" applyFont="1" applyFill="1" applyBorder="1"/>
    <xf numFmtId="0" fontId="38" fillId="0" borderId="0" xfId="0" applyFont="1"/>
    <xf numFmtId="0" fontId="38" fillId="0" borderId="0" xfId="0" applyFont="1" applyAlignment="1">
      <alignment horizontal="left" indent="2"/>
    </xf>
    <xf numFmtId="164" fontId="39" fillId="0" borderId="0" xfId="1" applyFont="1" applyBorder="1"/>
    <xf numFmtId="0" fontId="38" fillId="0" borderId="0" xfId="0" applyFont="1" applyAlignment="1">
      <alignment horizontal="left"/>
    </xf>
    <xf numFmtId="0" fontId="39" fillId="0" borderId="0" xfId="0" applyFont="1" applyAlignment="1">
      <alignment horizontal="left"/>
    </xf>
    <xf numFmtId="0" fontId="40" fillId="0" borderId="0" xfId="0" applyFont="1"/>
    <xf numFmtId="0" fontId="38" fillId="0" borderId="0" xfId="0" applyFont="1" applyAlignment="1"/>
    <xf numFmtId="0" fontId="38" fillId="0" borderId="0" xfId="0" applyFont="1" applyAlignment="1">
      <alignment indent="1"/>
    </xf>
    <xf numFmtId="164" fontId="38" fillId="0" borderId="0" xfId="1" applyFont="1" applyBorder="1"/>
    <xf numFmtId="0" fontId="38" fillId="3" borderId="0" xfId="0" applyFont="1" applyFill="1"/>
    <xf numFmtId="164" fontId="2" fillId="0" borderId="0" xfId="1" applyFont="1" applyAlignment="1">
      <alignment horizontal="left"/>
    </xf>
    <xf numFmtId="165" fontId="2" fillId="2" borderId="0" xfId="1" applyNumberFormat="1" applyFont="1" applyFill="1" applyAlignment="1">
      <alignment horizontal="left"/>
    </xf>
    <xf numFmtId="165" fontId="2" fillId="0" borderId="0" xfId="1" applyNumberFormat="1" applyFont="1" applyFill="1" applyAlignment="1">
      <alignment horizontal="left"/>
    </xf>
    <xf numFmtId="0" fontId="42" fillId="0" borderId="0" xfId="0" applyFont="1"/>
    <xf numFmtId="165" fontId="5" fillId="0" borderId="3" xfId="1" applyNumberFormat="1" applyFont="1" applyBorder="1"/>
    <xf numFmtId="165" fontId="5" fillId="2" borderId="3" xfId="1" applyNumberFormat="1" applyFont="1" applyFill="1" applyBorder="1"/>
    <xf numFmtId="165" fontId="5" fillId="0" borderId="3" xfId="1" applyNumberFormat="1" applyFont="1" applyFill="1" applyBorder="1"/>
    <xf numFmtId="165" fontId="2" fillId="0" borderId="0" xfId="1" applyNumberFormat="1" applyFont="1" applyAlignment="1">
      <alignment indent="1"/>
    </xf>
    <xf numFmtId="165" fontId="6" fillId="0" borderId="0" xfId="1" applyNumberFormat="1" applyFont="1" applyAlignment="1">
      <alignment horizontal="center"/>
    </xf>
    <xf numFmtId="165" fontId="2" fillId="0" borderId="0" xfId="1" applyNumberFormat="1" applyFont="1" applyAlignment="1">
      <alignment horizontal="left" indent="3"/>
    </xf>
    <xf numFmtId="165" fontId="5" fillId="0" borderId="0" xfId="1" applyNumberFormat="1" applyFont="1" applyBorder="1"/>
    <xf numFmtId="165" fontId="5" fillId="2" borderId="0" xfId="1" applyNumberFormat="1" applyFont="1" applyFill="1" applyBorder="1"/>
    <xf numFmtId="165" fontId="5" fillId="0" borderId="0" xfId="1" applyNumberFormat="1" applyFont="1" applyFill="1" applyBorder="1"/>
    <xf numFmtId="0" fontId="39" fillId="0" borderId="0" xfId="0" applyFont="1" applyAlignment="1"/>
    <xf numFmtId="165" fontId="2" fillId="6" borderId="0" xfId="1" applyNumberFormat="1" applyFont="1" applyFill="1" applyAlignment="1"/>
    <xf numFmtId="165" fontId="2" fillId="6" borderId="0" xfId="1" applyNumberFormat="1" applyFont="1" applyFill="1"/>
    <xf numFmtId="165" fontId="2" fillId="6" borderId="0" xfId="1" applyNumberFormat="1" applyFont="1" applyFill="1" applyBorder="1"/>
  </cellXfs>
  <cellStyles count="4">
    <cellStyle name="Comma" xfId="1" builtinId="3"/>
    <cellStyle name="Normal" xfId="0" builtinId="0"/>
    <cellStyle name="Normal 2" xfId="3" xr:uid="{A6D80BCA-DD41-440B-9EA1-E713686B53D2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1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microsoft.com/office/2017/10/relationships/person" Target="persons/perso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udget%20Worksheet%20from%20SQ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QL DATA"/>
      <sheetName val="Master"/>
      <sheetName val="SQL Query"/>
      <sheetName val="SUMMARY-F"/>
      <sheetName val="GG -Admin"/>
      <sheetName val="Council"/>
      <sheetName val="Fire Dept"/>
      <sheetName val="Building Inspection"/>
      <sheetName val="Bylaw Enforcement"/>
      <sheetName val="Protective Services"/>
      <sheetName val="Recreation"/>
      <sheetName val="Rec Director"/>
      <sheetName val="Rec Centre"/>
      <sheetName val="Pool"/>
      <sheetName val="Parks, Campground, SG, etc"/>
      <sheetName val="Playground Program"/>
      <sheetName val="Culture"/>
      <sheetName val="Community Hall"/>
      <sheetName val="Theatre"/>
      <sheetName val="Museum"/>
      <sheetName val="Other Rec Services"/>
      <sheetName val="Cemetery"/>
      <sheetName val="Recycle &amp; Garbage"/>
      <sheetName val="PW Summary"/>
      <sheetName val="PW Admin"/>
      <sheetName val="Shop &amp; Yard Maint"/>
      <sheetName val="Street &amp; Storm Sewer"/>
      <sheetName val="Mowing"/>
      <sheetName val="Transportation"/>
      <sheetName val="Water"/>
      <sheetName val="Sewer"/>
      <sheetName val="Airport"/>
      <sheetName val="Ec Dev"/>
      <sheetName val="Land Dev"/>
    </sheetNames>
    <sheetDataSet>
      <sheetData sheetId="0">
        <row r="1">
          <cell r="B1" t="str">
            <v>Account</v>
          </cell>
          <cell r="C1" t="str">
            <v>AccountClass</v>
          </cell>
          <cell r="D1" t="str">
            <v>Description</v>
          </cell>
          <cell r="E1" t="str">
            <v>Year</v>
          </cell>
          <cell r="F1" t="str">
            <v>Control</v>
          </cell>
          <cell r="G1" t="str">
            <v>Current Year</v>
          </cell>
          <cell r="H1" t="str">
            <v>Previous Year</v>
          </cell>
          <cell r="I1" t="str">
            <v>FiscalYearEnd</v>
          </cell>
          <cell r="J1" t="str">
            <v>Previous 2nd Year</v>
          </cell>
          <cell r="K1" t="str">
            <v>Previous 3rd Year</v>
          </cell>
        </row>
        <row r="2">
          <cell r="B2" t="str">
            <v>100-100-050</v>
          </cell>
          <cell r="C2" t="str">
            <v>Asset</v>
          </cell>
          <cell r="D2" t="str">
            <v>ASSETS</v>
          </cell>
          <cell r="E2" t="str">
            <v>2022</v>
          </cell>
          <cell r="F2">
            <v>0</v>
          </cell>
          <cell r="G2">
            <v>0</v>
          </cell>
          <cell r="H2">
            <v>0</v>
          </cell>
          <cell r="I2">
            <v>44926</v>
          </cell>
          <cell r="J2">
            <v>0</v>
          </cell>
          <cell r="K2">
            <v>0</v>
          </cell>
        </row>
        <row r="3">
          <cell r="B3" t="str">
            <v>110-105-050</v>
          </cell>
          <cell r="C3" t="str">
            <v>Asset</v>
          </cell>
          <cell r="D3" t="str">
            <v>FINANCIAL ASSETS</v>
          </cell>
          <cell r="E3" t="str">
            <v>2022</v>
          </cell>
          <cell r="F3">
            <v>0</v>
          </cell>
          <cell r="G3">
            <v>0</v>
          </cell>
          <cell r="H3">
            <v>0</v>
          </cell>
          <cell r="I3">
            <v>44926</v>
          </cell>
          <cell r="J3">
            <v>0</v>
          </cell>
          <cell r="K3">
            <v>0</v>
          </cell>
        </row>
        <row r="4">
          <cell r="B4" t="str">
            <v>110-110-050</v>
          </cell>
          <cell r="C4" t="str">
            <v>Asset</v>
          </cell>
          <cell r="D4" t="str">
            <v>CASH</v>
          </cell>
          <cell r="E4" t="str">
            <v>2022</v>
          </cell>
          <cell r="F4">
            <v>0</v>
          </cell>
          <cell r="G4">
            <v>0</v>
          </cell>
          <cell r="H4">
            <v>0</v>
          </cell>
          <cell r="I4">
            <v>44926</v>
          </cell>
          <cell r="J4">
            <v>0</v>
          </cell>
          <cell r="K4">
            <v>0</v>
          </cell>
        </row>
        <row r="5">
          <cell r="B5" t="str">
            <v>110-110-110</v>
          </cell>
          <cell r="C5" t="str">
            <v>Asset</v>
          </cell>
          <cell r="D5" t="str">
            <v>Cash - On Hand - Petty Cash</v>
          </cell>
          <cell r="E5" t="str">
            <v>2022</v>
          </cell>
          <cell r="F5">
            <v>0</v>
          </cell>
          <cell r="G5">
            <v>0</v>
          </cell>
          <cell r="H5">
            <v>0</v>
          </cell>
          <cell r="I5">
            <v>44926</v>
          </cell>
          <cell r="J5">
            <v>-1500</v>
          </cell>
          <cell r="K5">
            <v>1500</v>
          </cell>
        </row>
        <row r="6">
          <cell r="B6" t="str">
            <v>110-110-120</v>
          </cell>
          <cell r="C6" t="str">
            <v>Asset</v>
          </cell>
          <cell r="D6" t="str">
            <v>Credit Union</v>
          </cell>
          <cell r="E6" t="str">
            <v>2022</v>
          </cell>
          <cell r="F6">
            <v>-230397.74</v>
          </cell>
          <cell r="G6">
            <v>-230397.74</v>
          </cell>
          <cell r="H6">
            <v>339443.25</v>
          </cell>
          <cell r="I6">
            <v>44926</v>
          </cell>
          <cell r="J6">
            <v>15893.48</v>
          </cell>
          <cell r="K6">
            <v>-412864.99</v>
          </cell>
        </row>
        <row r="7">
          <cell r="B7" t="str">
            <v>110-110-125</v>
          </cell>
          <cell r="C7" t="str">
            <v>Asset</v>
          </cell>
          <cell r="D7" t="str">
            <v xml:space="preserve">Contra Account                          </v>
          </cell>
          <cell r="E7" t="str">
            <v>2022</v>
          </cell>
          <cell r="F7">
            <v>11042.97</v>
          </cell>
          <cell r="G7">
            <v>11042.97</v>
          </cell>
          <cell r="H7">
            <v>-10712.63</v>
          </cell>
          <cell r="I7">
            <v>44926</v>
          </cell>
          <cell r="J7">
            <v>-1676.5</v>
          </cell>
          <cell r="K7">
            <v>1676.5</v>
          </cell>
        </row>
        <row r="8">
          <cell r="B8" t="str">
            <v>110-110-130</v>
          </cell>
          <cell r="C8" t="str">
            <v>Asset</v>
          </cell>
          <cell r="D8" t="str">
            <v>Scotia Bank - General</v>
          </cell>
          <cell r="E8" t="str">
            <v>2022</v>
          </cell>
          <cell r="F8">
            <v>55863.24</v>
          </cell>
          <cell r="G8">
            <v>55863.24</v>
          </cell>
          <cell r="H8">
            <v>-454932.07</v>
          </cell>
          <cell r="I8">
            <v>44926</v>
          </cell>
          <cell r="J8">
            <v>427336.93</v>
          </cell>
          <cell r="K8">
            <v>1097.46</v>
          </cell>
        </row>
        <row r="9">
          <cell r="B9" t="str">
            <v>110-110-135</v>
          </cell>
          <cell r="C9" t="str">
            <v>Asset</v>
          </cell>
          <cell r="D9" t="str">
            <v>Credit Union - Cemetery Reserves</v>
          </cell>
          <cell r="E9" t="str">
            <v>2022</v>
          </cell>
          <cell r="F9">
            <v>6.84</v>
          </cell>
          <cell r="G9">
            <v>6.84</v>
          </cell>
          <cell r="H9">
            <v>2808.08</v>
          </cell>
          <cell r="I9">
            <v>44926</v>
          </cell>
          <cell r="J9">
            <v>0</v>
          </cell>
          <cell r="K9">
            <v>-18201.259999999998</v>
          </cell>
        </row>
        <row r="10">
          <cell r="B10" t="str">
            <v>110-110-140</v>
          </cell>
          <cell r="C10" t="str">
            <v>Asset</v>
          </cell>
          <cell r="D10" t="str">
            <v>Credit Union - Reserves</v>
          </cell>
          <cell r="E10" t="str">
            <v>2022</v>
          </cell>
          <cell r="F10">
            <v>2017271.05</v>
          </cell>
          <cell r="G10">
            <v>2017271.05</v>
          </cell>
          <cell r="H10">
            <v>0</v>
          </cell>
          <cell r="I10">
            <v>44926</v>
          </cell>
          <cell r="J10">
            <v>0</v>
          </cell>
          <cell r="K10">
            <v>-849057.04</v>
          </cell>
        </row>
        <row r="11">
          <cell r="B11" t="str">
            <v>110-110-145</v>
          </cell>
          <cell r="C11" t="str">
            <v>Asset</v>
          </cell>
          <cell r="D11" t="str">
            <v>Credit Union - Dedicated Lands</v>
          </cell>
          <cell r="E11" t="str">
            <v>2022</v>
          </cell>
          <cell r="F11">
            <v>36.700000000000003</v>
          </cell>
          <cell r="G11">
            <v>36.700000000000003</v>
          </cell>
          <cell r="H11">
            <v>15044.24</v>
          </cell>
          <cell r="I11">
            <v>44926</v>
          </cell>
          <cell r="J11">
            <v>0</v>
          </cell>
          <cell r="K11">
            <v>-15153.25</v>
          </cell>
        </row>
        <row r="12">
          <cell r="B12" t="str">
            <v>110-110-150</v>
          </cell>
          <cell r="C12" t="str">
            <v>Asset</v>
          </cell>
          <cell r="D12" t="str">
            <v>Scotia Bank - Reserves</v>
          </cell>
          <cell r="E12" t="str">
            <v>2022</v>
          </cell>
          <cell r="F12">
            <v>0</v>
          </cell>
          <cell r="G12">
            <v>0</v>
          </cell>
          <cell r="H12">
            <v>0</v>
          </cell>
          <cell r="I12">
            <v>44926</v>
          </cell>
          <cell r="J12">
            <v>0</v>
          </cell>
          <cell r="K12">
            <v>0</v>
          </cell>
        </row>
        <row r="13">
          <cell r="B13" t="str">
            <v>110-110-155</v>
          </cell>
          <cell r="C13" t="str">
            <v>Asset</v>
          </cell>
          <cell r="D13" t="str">
            <v>Scotia Bank - Dedicated Lands Reserve</v>
          </cell>
          <cell r="E13" t="str">
            <v>2022</v>
          </cell>
          <cell r="F13">
            <v>0</v>
          </cell>
          <cell r="G13">
            <v>0</v>
          </cell>
          <cell r="H13">
            <v>-15042.34</v>
          </cell>
          <cell r="I13">
            <v>44926</v>
          </cell>
          <cell r="J13">
            <v>9.9499999999999993</v>
          </cell>
          <cell r="K13">
            <v>15032.39</v>
          </cell>
        </row>
        <row r="14">
          <cell r="B14" t="str">
            <v>110-110-160</v>
          </cell>
          <cell r="C14" t="str">
            <v>Asset</v>
          </cell>
          <cell r="D14" t="str">
            <v>Scotia Bank - Cemetery Reserves</v>
          </cell>
          <cell r="E14" t="str">
            <v>2022</v>
          </cell>
          <cell r="F14">
            <v>0</v>
          </cell>
          <cell r="G14">
            <v>0</v>
          </cell>
          <cell r="H14">
            <v>-2807.73</v>
          </cell>
          <cell r="I14">
            <v>44926</v>
          </cell>
          <cell r="J14">
            <v>-12200</v>
          </cell>
          <cell r="K14">
            <v>15007.73</v>
          </cell>
        </row>
        <row r="15">
          <cell r="B15" t="str">
            <v>110-110-170</v>
          </cell>
          <cell r="C15" t="str">
            <v>Asset</v>
          </cell>
          <cell r="D15" t="str">
            <v>Scotia Bank - Reserves (Savings Acct)</v>
          </cell>
          <cell r="E15" t="str">
            <v>2022</v>
          </cell>
          <cell r="F15">
            <v>-2110892.1</v>
          </cell>
          <cell r="G15">
            <v>-2110892.1</v>
          </cell>
          <cell r="H15">
            <v>600000</v>
          </cell>
          <cell r="I15">
            <v>44926</v>
          </cell>
          <cell r="J15">
            <v>343870.16</v>
          </cell>
          <cell r="K15">
            <v>1167021.94</v>
          </cell>
        </row>
        <row r="16">
          <cell r="B16" t="str">
            <v>110-110-200</v>
          </cell>
          <cell r="C16" t="str">
            <v>Asset</v>
          </cell>
          <cell r="D16" t="str">
            <v>Payroll Clearing Account</v>
          </cell>
          <cell r="E16" t="str">
            <v>2022</v>
          </cell>
          <cell r="F16">
            <v>701.18</v>
          </cell>
          <cell r="G16">
            <v>701.18</v>
          </cell>
          <cell r="H16">
            <v>-1059.1400000000001</v>
          </cell>
          <cell r="I16">
            <v>44926</v>
          </cell>
          <cell r="J16">
            <v>0</v>
          </cell>
          <cell r="K16">
            <v>0</v>
          </cell>
        </row>
        <row r="17">
          <cell r="B17" t="str">
            <v>110-110-201</v>
          </cell>
          <cell r="C17" t="str">
            <v>Asset</v>
          </cell>
          <cell r="D17" t="str">
            <v>Payroll Reimbursement Clearing Account</v>
          </cell>
          <cell r="E17" t="str">
            <v>2022</v>
          </cell>
          <cell r="F17">
            <v>0</v>
          </cell>
          <cell r="G17">
            <v>0</v>
          </cell>
          <cell r="H17">
            <v>0</v>
          </cell>
          <cell r="I17">
            <v>44926</v>
          </cell>
          <cell r="J17">
            <v>0</v>
          </cell>
          <cell r="K17">
            <v>0</v>
          </cell>
        </row>
        <row r="18">
          <cell r="B18" t="str">
            <v>110-120-050</v>
          </cell>
          <cell r="C18" t="str">
            <v>Asset</v>
          </cell>
          <cell r="D18" t="str">
            <v>TEMPORARY INVESTMENTS</v>
          </cell>
          <cell r="E18" t="str">
            <v>2022</v>
          </cell>
          <cell r="F18">
            <v>0</v>
          </cell>
          <cell r="G18">
            <v>0</v>
          </cell>
          <cell r="H18">
            <v>0</v>
          </cell>
          <cell r="I18">
            <v>44926</v>
          </cell>
          <cell r="J18">
            <v>0</v>
          </cell>
          <cell r="K18">
            <v>0</v>
          </cell>
        </row>
        <row r="19">
          <cell r="B19" t="str">
            <v>110-120-100</v>
          </cell>
          <cell r="C19" t="str">
            <v>Asset</v>
          </cell>
          <cell r="D19" t="str">
            <v>Short Term Investments</v>
          </cell>
          <cell r="E19" t="str">
            <v>2022</v>
          </cell>
          <cell r="F19">
            <v>0</v>
          </cell>
          <cell r="G19">
            <v>0</v>
          </cell>
          <cell r="H19">
            <v>0</v>
          </cell>
          <cell r="I19">
            <v>44926</v>
          </cell>
          <cell r="J19">
            <v>0</v>
          </cell>
          <cell r="K19">
            <v>0</v>
          </cell>
        </row>
        <row r="20">
          <cell r="B20" t="str">
            <v>110-200-050</v>
          </cell>
          <cell r="C20" t="str">
            <v>Asset</v>
          </cell>
          <cell r="D20" t="str">
            <v>MUNICIPAL TAXES RECEIVABLE</v>
          </cell>
          <cell r="E20" t="str">
            <v>2022</v>
          </cell>
          <cell r="F20">
            <v>0</v>
          </cell>
          <cell r="G20">
            <v>0</v>
          </cell>
          <cell r="H20">
            <v>0</v>
          </cell>
          <cell r="I20">
            <v>44926</v>
          </cell>
          <cell r="J20">
            <v>0</v>
          </cell>
          <cell r="K20">
            <v>0</v>
          </cell>
        </row>
        <row r="21">
          <cell r="B21" t="str">
            <v>110-200-100</v>
          </cell>
          <cell r="C21" t="str">
            <v>Asset</v>
          </cell>
          <cell r="D21" t="str">
            <v>Municipal - Tax Receivable - Current</v>
          </cell>
          <cell r="E21" t="str">
            <v>2022</v>
          </cell>
          <cell r="F21">
            <v>409237.87</v>
          </cell>
          <cell r="G21">
            <v>409237.87</v>
          </cell>
          <cell r="H21">
            <v>117474.48</v>
          </cell>
          <cell r="I21">
            <v>44926</v>
          </cell>
          <cell r="J21">
            <v>13171.11</v>
          </cell>
          <cell r="K21">
            <v>-184149.26</v>
          </cell>
        </row>
        <row r="22">
          <cell r="B22" t="str">
            <v>110-200-110</v>
          </cell>
          <cell r="C22" t="str">
            <v>Asset</v>
          </cell>
          <cell r="D22" t="str">
            <v>Municipal - Tax Receivable - Arrears</v>
          </cell>
          <cell r="E22" t="str">
            <v>2022</v>
          </cell>
          <cell r="F22">
            <v>-98376.86</v>
          </cell>
          <cell r="G22">
            <v>-98376.86</v>
          </cell>
          <cell r="H22">
            <v>-193647.27</v>
          </cell>
          <cell r="I22">
            <v>44926</v>
          </cell>
          <cell r="J22">
            <v>-116362.86</v>
          </cell>
          <cell r="K22">
            <v>205683.04</v>
          </cell>
        </row>
        <row r="23">
          <cell r="B23" t="str">
            <v>110-200-180</v>
          </cell>
          <cell r="C23" t="str">
            <v>Asset</v>
          </cell>
          <cell r="D23" t="str">
            <v>Municipal - Local Improve Rec - Current</v>
          </cell>
          <cell r="E23" t="str">
            <v>2022</v>
          </cell>
          <cell r="F23">
            <v>0</v>
          </cell>
          <cell r="G23">
            <v>0</v>
          </cell>
          <cell r="H23">
            <v>0</v>
          </cell>
          <cell r="I23">
            <v>44926</v>
          </cell>
          <cell r="J23">
            <v>0</v>
          </cell>
          <cell r="K23">
            <v>0</v>
          </cell>
        </row>
        <row r="24">
          <cell r="B24" t="str">
            <v>110-200-190</v>
          </cell>
          <cell r="C24" t="str">
            <v>Asset</v>
          </cell>
          <cell r="D24" t="str">
            <v>Municipal - Local Improve Rec - Arrears</v>
          </cell>
          <cell r="E24" t="str">
            <v>2022</v>
          </cell>
          <cell r="F24">
            <v>0</v>
          </cell>
          <cell r="G24">
            <v>0</v>
          </cell>
          <cell r="H24">
            <v>0</v>
          </cell>
          <cell r="I24">
            <v>44926</v>
          </cell>
          <cell r="J24">
            <v>0</v>
          </cell>
          <cell r="K24">
            <v>0</v>
          </cell>
        </row>
        <row r="25">
          <cell r="B25" t="str">
            <v>110-200-200</v>
          </cell>
          <cell r="C25" t="str">
            <v>Asset</v>
          </cell>
          <cell r="D25" t="str">
            <v>Municipal - Adjustment/Cancellation</v>
          </cell>
          <cell r="E25" t="str">
            <v>2022</v>
          </cell>
          <cell r="F25">
            <v>0</v>
          </cell>
          <cell r="G25">
            <v>0</v>
          </cell>
          <cell r="H25">
            <v>0</v>
          </cell>
          <cell r="I25">
            <v>44926</v>
          </cell>
          <cell r="J25">
            <v>0</v>
          </cell>
          <cell r="K25">
            <v>0</v>
          </cell>
        </row>
        <row r="26">
          <cell r="B26" t="str">
            <v>110-200-300</v>
          </cell>
          <cell r="C26" t="str">
            <v>Asset</v>
          </cell>
          <cell r="D26" t="str">
            <v>Municipal Special Levy #1 - Current</v>
          </cell>
          <cell r="E26" t="str">
            <v>2022</v>
          </cell>
          <cell r="F26">
            <v>0</v>
          </cell>
          <cell r="G26">
            <v>0</v>
          </cell>
          <cell r="H26">
            <v>0</v>
          </cell>
          <cell r="I26">
            <v>44926</v>
          </cell>
          <cell r="J26">
            <v>0</v>
          </cell>
          <cell r="K26">
            <v>0</v>
          </cell>
        </row>
        <row r="27">
          <cell r="B27" t="str">
            <v>110-200-310</v>
          </cell>
          <cell r="C27" t="str">
            <v>Asset</v>
          </cell>
          <cell r="D27" t="str">
            <v>Municipal Special Levy #1 - Arrears</v>
          </cell>
          <cell r="E27" t="str">
            <v>2022</v>
          </cell>
          <cell r="F27">
            <v>0</v>
          </cell>
          <cell r="G27">
            <v>0</v>
          </cell>
          <cell r="H27">
            <v>0</v>
          </cell>
          <cell r="I27">
            <v>44926</v>
          </cell>
          <cell r="J27">
            <v>0</v>
          </cell>
          <cell r="K27">
            <v>0</v>
          </cell>
        </row>
        <row r="28">
          <cell r="B28" t="str">
            <v>110-200-900</v>
          </cell>
          <cell r="C28" t="str">
            <v>Asset</v>
          </cell>
          <cell r="D28" t="str">
            <v>Municipal - Allow. for Uncollected</v>
          </cell>
          <cell r="E28" t="str">
            <v>2022</v>
          </cell>
          <cell r="F28">
            <v>0</v>
          </cell>
          <cell r="G28">
            <v>0</v>
          </cell>
          <cell r="H28">
            <v>0</v>
          </cell>
          <cell r="I28">
            <v>44926</v>
          </cell>
          <cell r="J28">
            <v>0</v>
          </cell>
          <cell r="K28">
            <v>0</v>
          </cell>
        </row>
        <row r="29">
          <cell r="B29" t="str">
            <v>110-210-050</v>
          </cell>
          <cell r="C29" t="str">
            <v>Asset</v>
          </cell>
          <cell r="D29" t="str">
            <v>OTHER TAXES RECEIVABLE</v>
          </cell>
          <cell r="E29" t="str">
            <v>2022</v>
          </cell>
          <cell r="F29">
            <v>0</v>
          </cell>
          <cell r="G29">
            <v>0</v>
          </cell>
          <cell r="H29">
            <v>0</v>
          </cell>
          <cell r="I29">
            <v>44926</v>
          </cell>
          <cell r="J29">
            <v>0</v>
          </cell>
          <cell r="K29">
            <v>0</v>
          </cell>
        </row>
        <row r="30">
          <cell r="B30" t="str">
            <v>110-210-100</v>
          </cell>
          <cell r="C30" t="str">
            <v>Asset</v>
          </cell>
          <cell r="D30" t="str">
            <v>Sask Rivers - Tax Receivable</v>
          </cell>
          <cell r="E30" t="str">
            <v>2022</v>
          </cell>
          <cell r="F30">
            <v>116720.91</v>
          </cell>
          <cell r="G30">
            <v>116720.91</v>
          </cell>
          <cell r="H30">
            <v>-7020</v>
          </cell>
          <cell r="I30">
            <v>44926</v>
          </cell>
          <cell r="J30">
            <v>-11759.37</v>
          </cell>
          <cell r="K30">
            <v>-6410.33</v>
          </cell>
        </row>
        <row r="31">
          <cell r="B31" t="str">
            <v>110-210-400</v>
          </cell>
          <cell r="C31" t="str">
            <v>Asset</v>
          </cell>
          <cell r="D31" t="str">
            <v>C &amp; D #1 - Tax Receivable</v>
          </cell>
          <cell r="E31" t="str">
            <v>2022</v>
          </cell>
          <cell r="F31">
            <v>0</v>
          </cell>
          <cell r="G31">
            <v>0</v>
          </cell>
          <cell r="H31">
            <v>0</v>
          </cell>
          <cell r="I31">
            <v>44926</v>
          </cell>
          <cell r="J31">
            <v>0</v>
          </cell>
          <cell r="K31">
            <v>0</v>
          </cell>
        </row>
        <row r="32">
          <cell r="B32" t="str">
            <v>110-210-500</v>
          </cell>
          <cell r="C32" t="str">
            <v>Asset</v>
          </cell>
          <cell r="D32" t="str">
            <v>Hospital - Tax Receivable</v>
          </cell>
          <cell r="E32" t="str">
            <v>2022</v>
          </cell>
          <cell r="F32">
            <v>0</v>
          </cell>
          <cell r="G32">
            <v>0</v>
          </cell>
          <cell r="H32">
            <v>0</v>
          </cell>
          <cell r="I32">
            <v>44926</v>
          </cell>
          <cell r="J32">
            <v>0</v>
          </cell>
          <cell r="K32">
            <v>0</v>
          </cell>
        </row>
        <row r="33">
          <cell r="B33" t="str">
            <v>110-210-600</v>
          </cell>
          <cell r="C33" t="str">
            <v>Asset</v>
          </cell>
          <cell r="D33" t="str">
            <v>BID Tax Receivable</v>
          </cell>
          <cell r="E33" t="str">
            <v>2022</v>
          </cell>
          <cell r="F33">
            <v>0</v>
          </cell>
          <cell r="G33">
            <v>0</v>
          </cell>
          <cell r="H33">
            <v>0</v>
          </cell>
          <cell r="I33">
            <v>44926</v>
          </cell>
          <cell r="J33">
            <v>0</v>
          </cell>
          <cell r="K33">
            <v>0</v>
          </cell>
        </row>
        <row r="34">
          <cell r="B34" t="str">
            <v>110-210-700</v>
          </cell>
          <cell r="C34" t="str">
            <v>Asset</v>
          </cell>
          <cell r="D34" t="str">
            <v>Mun. Hail - Tax Receivable</v>
          </cell>
          <cell r="E34" t="str">
            <v>2022</v>
          </cell>
          <cell r="F34">
            <v>0</v>
          </cell>
          <cell r="G34">
            <v>0</v>
          </cell>
          <cell r="H34">
            <v>0</v>
          </cell>
          <cell r="I34">
            <v>44926</v>
          </cell>
          <cell r="J34">
            <v>0</v>
          </cell>
          <cell r="K34">
            <v>0</v>
          </cell>
        </row>
        <row r="35">
          <cell r="B35" t="str">
            <v>110-300-050</v>
          </cell>
          <cell r="C35" t="str">
            <v>Asset</v>
          </cell>
          <cell r="D35" t="str">
            <v>OTHER RECEIVABLES</v>
          </cell>
          <cell r="E35" t="str">
            <v>2022</v>
          </cell>
          <cell r="F35">
            <v>0</v>
          </cell>
          <cell r="G35">
            <v>0</v>
          </cell>
          <cell r="H35">
            <v>0</v>
          </cell>
          <cell r="I35">
            <v>44926</v>
          </cell>
          <cell r="J35">
            <v>0</v>
          </cell>
          <cell r="K35">
            <v>0</v>
          </cell>
        </row>
        <row r="36">
          <cell r="B36" t="str">
            <v>110-300-100</v>
          </cell>
          <cell r="C36" t="str">
            <v>Asset</v>
          </cell>
          <cell r="D36" t="str">
            <v>Due From Federal Gov't/Agency</v>
          </cell>
          <cell r="E36" t="str">
            <v>2022</v>
          </cell>
          <cell r="F36">
            <v>0</v>
          </cell>
          <cell r="G36">
            <v>0</v>
          </cell>
          <cell r="H36">
            <v>7494</v>
          </cell>
          <cell r="I36">
            <v>44926</v>
          </cell>
          <cell r="J36">
            <v>0</v>
          </cell>
          <cell r="K36">
            <v>0</v>
          </cell>
        </row>
        <row r="37">
          <cell r="B37" t="str">
            <v>110-300-110</v>
          </cell>
          <cell r="C37" t="str">
            <v>Asset</v>
          </cell>
          <cell r="D37" t="str">
            <v>Due From Provincial Gov't/Agency</v>
          </cell>
          <cell r="E37" t="str">
            <v>2022</v>
          </cell>
          <cell r="F37">
            <v>0</v>
          </cell>
          <cell r="G37">
            <v>0</v>
          </cell>
          <cell r="H37">
            <v>-7357.85</v>
          </cell>
          <cell r="I37">
            <v>44926</v>
          </cell>
          <cell r="J37">
            <v>7357.85</v>
          </cell>
          <cell r="K37">
            <v>0</v>
          </cell>
        </row>
        <row r="38">
          <cell r="B38" t="str">
            <v>110-300-120</v>
          </cell>
          <cell r="C38" t="str">
            <v>Asset</v>
          </cell>
          <cell r="D38" t="str">
            <v>Due From Local Government</v>
          </cell>
          <cell r="E38" t="str">
            <v>2022</v>
          </cell>
          <cell r="F38">
            <v>0</v>
          </cell>
          <cell r="G38">
            <v>0</v>
          </cell>
          <cell r="H38">
            <v>0</v>
          </cell>
          <cell r="I38">
            <v>44926</v>
          </cell>
          <cell r="J38">
            <v>0</v>
          </cell>
          <cell r="K38">
            <v>0</v>
          </cell>
        </row>
        <row r="39">
          <cell r="B39" t="str">
            <v>110-310-100</v>
          </cell>
          <cell r="C39" t="str">
            <v>Asset</v>
          </cell>
          <cell r="D39" t="str">
            <v>Accrued Interest</v>
          </cell>
          <cell r="E39" t="str">
            <v>2022</v>
          </cell>
          <cell r="F39">
            <v>0</v>
          </cell>
          <cell r="G39">
            <v>0</v>
          </cell>
          <cell r="H39">
            <v>0</v>
          </cell>
          <cell r="I39">
            <v>44926</v>
          </cell>
          <cell r="J39">
            <v>0</v>
          </cell>
          <cell r="K39">
            <v>0</v>
          </cell>
        </row>
        <row r="40">
          <cell r="B40" t="str">
            <v>110-320-100</v>
          </cell>
          <cell r="C40" t="str">
            <v>Asset</v>
          </cell>
          <cell r="D40" t="str">
            <v>Accounts Receivable</v>
          </cell>
          <cell r="E40" t="str">
            <v>2022</v>
          </cell>
          <cell r="F40">
            <v>-25252.28</v>
          </cell>
          <cell r="G40">
            <v>-25252.28</v>
          </cell>
          <cell r="H40">
            <v>-137401.25</v>
          </cell>
          <cell r="I40">
            <v>44926</v>
          </cell>
          <cell r="J40">
            <v>-114707.42</v>
          </cell>
          <cell r="K40">
            <v>36633.480000000003</v>
          </cell>
        </row>
        <row r="41">
          <cell r="B41" t="str">
            <v>110-320-110</v>
          </cell>
          <cell r="C41" t="str">
            <v>Asset</v>
          </cell>
          <cell r="D41" t="str">
            <v>Accounts Receivable - Other</v>
          </cell>
          <cell r="E41" t="str">
            <v>2022</v>
          </cell>
          <cell r="F41">
            <v>0</v>
          </cell>
          <cell r="G41">
            <v>0</v>
          </cell>
          <cell r="H41">
            <v>0</v>
          </cell>
          <cell r="I41">
            <v>44926</v>
          </cell>
          <cell r="J41">
            <v>0</v>
          </cell>
          <cell r="K41">
            <v>0</v>
          </cell>
        </row>
        <row r="42">
          <cell r="B42" t="str">
            <v>110-320-120</v>
          </cell>
          <cell r="C42" t="str">
            <v>Asset</v>
          </cell>
          <cell r="D42" t="str">
            <v>Other Receivable #3</v>
          </cell>
          <cell r="E42" t="str">
            <v>2022</v>
          </cell>
          <cell r="F42">
            <v>0</v>
          </cell>
          <cell r="G42">
            <v>0</v>
          </cell>
          <cell r="H42">
            <v>0</v>
          </cell>
          <cell r="I42">
            <v>44926</v>
          </cell>
          <cell r="J42">
            <v>0</v>
          </cell>
          <cell r="K42">
            <v>0</v>
          </cell>
        </row>
        <row r="43">
          <cell r="B43" t="str">
            <v>110-320-130</v>
          </cell>
          <cell r="C43" t="str">
            <v>Asset</v>
          </cell>
          <cell r="D43" t="str">
            <v>Allowance for Uncollectible Grants</v>
          </cell>
          <cell r="E43" t="str">
            <v>2022</v>
          </cell>
          <cell r="F43">
            <v>0</v>
          </cell>
          <cell r="G43">
            <v>0</v>
          </cell>
          <cell r="H43">
            <v>0</v>
          </cell>
          <cell r="I43">
            <v>44926</v>
          </cell>
          <cell r="J43">
            <v>0</v>
          </cell>
          <cell r="K43">
            <v>1500</v>
          </cell>
        </row>
        <row r="44">
          <cell r="B44" t="str">
            <v>110-320-140</v>
          </cell>
          <cell r="C44" t="str">
            <v>Asset</v>
          </cell>
          <cell r="D44" t="str">
            <v>Utility Accounts Receivable</v>
          </cell>
          <cell r="E44" t="str">
            <v>2022</v>
          </cell>
          <cell r="F44">
            <v>28283.71</v>
          </cell>
          <cell r="G44">
            <v>28283.71</v>
          </cell>
          <cell r="H44">
            <v>-16404.310000000001</v>
          </cell>
          <cell r="I44">
            <v>44926</v>
          </cell>
          <cell r="J44">
            <v>25713.56</v>
          </cell>
          <cell r="K44">
            <v>-1167.6199999999999</v>
          </cell>
        </row>
        <row r="45">
          <cell r="B45" t="str">
            <v>110-320-145</v>
          </cell>
          <cell r="C45" t="str">
            <v>Asset</v>
          </cell>
          <cell r="D45" t="str">
            <v xml:space="preserve">Clearing Account                        </v>
          </cell>
          <cell r="E45" t="str">
            <v>2022</v>
          </cell>
          <cell r="F45">
            <v>0</v>
          </cell>
          <cell r="G45">
            <v>0</v>
          </cell>
          <cell r="H45">
            <v>0</v>
          </cell>
          <cell r="I45">
            <v>44926</v>
          </cell>
          <cell r="J45">
            <v>0</v>
          </cell>
          <cell r="K45">
            <v>0</v>
          </cell>
        </row>
        <row r="46">
          <cell r="B46" t="str">
            <v>110-320-150</v>
          </cell>
          <cell r="C46" t="str">
            <v>Asset</v>
          </cell>
          <cell r="D46" t="str">
            <v>Cable TV Accounts Receivable</v>
          </cell>
          <cell r="E46" t="str">
            <v>2022</v>
          </cell>
          <cell r="F46">
            <v>0</v>
          </cell>
          <cell r="G46">
            <v>0</v>
          </cell>
          <cell r="H46">
            <v>0</v>
          </cell>
          <cell r="I46">
            <v>44926</v>
          </cell>
          <cell r="J46">
            <v>0</v>
          </cell>
          <cell r="K46">
            <v>0</v>
          </cell>
        </row>
        <row r="47">
          <cell r="B47" t="str">
            <v>110-320-160</v>
          </cell>
          <cell r="C47" t="str">
            <v>Asset</v>
          </cell>
          <cell r="D47" t="str">
            <v>Allowance for Uncollectible Receivables</v>
          </cell>
          <cell r="E47" t="str">
            <v>2022</v>
          </cell>
          <cell r="F47">
            <v>0</v>
          </cell>
          <cell r="G47">
            <v>0</v>
          </cell>
          <cell r="H47">
            <v>0</v>
          </cell>
          <cell r="I47">
            <v>44926</v>
          </cell>
          <cell r="J47">
            <v>0</v>
          </cell>
          <cell r="K47">
            <v>1777.4</v>
          </cell>
        </row>
        <row r="48">
          <cell r="B48" t="str">
            <v>110-320-170</v>
          </cell>
          <cell r="C48" t="str">
            <v>Asset</v>
          </cell>
          <cell r="D48" t="str">
            <v>Tax Title Costs Receivable</v>
          </cell>
          <cell r="E48" t="str">
            <v>2022</v>
          </cell>
          <cell r="F48">
            <v>0</v>
          </cell>
          <cell r="G48">
            <v>0</v>
          </cell>
          <cell r="H48">
            <v>0</v>
          </cell>
          <cell r="I48">
            <v>44926</v>
          </cell>
          <cell r="J48">
            <v>0</v>
          </cell>
          <cell r="K48">
            <v>0</v>
          </cell>
        </row>
        <row r="49">
          <cell r="B49" t="str">
            <v>110-320-180</v>
          </cell>
          <cell r="C49" t="str">
            <v>Asset</v>
          </cell>
          <cell r="D49" t="str">
            <v>Allowance - Loss on Tax Title Costs</v>
          </cell>
          <cell r="E49" t="str">
            <v>2022</v>
          </cell>
          <cell r="F49">
            <v>0</v>
          </cell>
          <cell r="G49">
            <v>0</v>
          </cell>
          <cell r="H49">
            <v>0</v>
          </cell>
          <cell r="I49">
            <v>44926</v>
          </cell>
          <cell r="J49">
            <v>0</v>
          </cell>
          <cell r="K49">
            <v>0</v>
          </cell>
        </row>
        <row r="50">
          <cell r="B50" t="str">
            <v>110-330-100</v>
          </cell>
          <cell r="C50" t="str">
            <v>Asset</v>
          </cell>
          <cell r="D50" t="str">
            <v>Wages - Advances Receivable</v>
          </cell>
          <cell r="E50" t="str">
            <v>2022</v>
          </cell>
          <cell r="F50">
            <v>0</v>
          </cell>
          <cell r="G50">
            <v>0</v>
          </cell>
          <cell r="H50">
            <v>0</v>
          </cell>
          <cell r="I50">
            <v>44926</v>
          </cell>
          <cell r="J50">
            <v>0</v>
          </cell>
          <cell r="K50">
            <v>0</v>
          </cell>
        </row>
        <row r="51">
          <cell r="B51" t="str">
            <v>110-330-110</v>
          </cell>
          <cell r="C51" t="str">
            <v>Asset</v>
          </cell>
          <cell r="D51" t="str">
            <v>Wages - Health &amp; Dental</v>
          </cell>
          <cell r="E51" t="str">
            <v>2022</v>
          </cell>
          <cell r="F51">
            <v>0</v>
          </cell>
          <cell r="G51">
            <v>0</v>
          </cell>
          <cell r="H51">
            <v>0</v>
          </cell>
          <cell r="I51">
            <v>44926</v>
          </cell>
          <cell r="J51">
            <v>0</v>
          </cell>
          <cell r="K51">
            <v>0</v>
          </cell>
        </row>
        <row r="52">
          <cell r="B52" t="str">
            <v>110-330-120</v>
          </cell>
          <cell r="C52" t="str">
            <v>Asset</v>
          </cell>
          <cell r="D52" t="str">
            <v>Wages - Disability Insurance</v>
          </cell>
          <cell r="E52" t="str">
            <v>2022</v>
          </cell>
          <cell r="F52">
            <v>0</v>
          </cell>
          <cell r="G52">
            <v>0</v>
          </cell>
          <cell r="H52">
            <v>0</v>
          </cell>
          <cell r="I52">
            <v>44926</v>
          </cell>
          <cell r="J52">
            <v>0</v>
          </cell>
          <cell r="K52">
            <v>0</v>
          </cell>
        </row>
        <row r="53">
          <cell r="B53" t="str">
            <v>110-340-100</v>
          </cell>
          <cell r="C53" t="str">
            <v>Asset</v>
          </cell>
          <cell r="D53" t="str">
            <v>GST Receivable - 57.14% Rebate</v>
          </cell>
          <cell r="E53" t="str">
            <v>2022</v>
          </cell>
          <cell r="F53">
            <v>0</v>
          </cell>
          <cell r="G53">
            <v>0</v>
          </cell>
          <cell r="H53">
            <v>0</v>
          </cell>
          <cell r="I53">
            <v>44926</v>
          </cell>
          <cell r="J53">
            <v>0</v>
          </cell>
          <cell r="K53">
            <v>0</v>
          </cell>
        </row>
        <row r="54">
          <cell r="B54" t="str">
            <v>110-340-110</v>
          </cell>
          <cell r="C54" t="str">
            <v>Asset</v>
          </cell>
          <cell r="D54" t="str">
            <v>GST Receivable - 100% Rebate</v>
          </cell>
          <cell r="E54" t="str">
            <v>2022</v>
          </cell>
          <cell r="F54">
            <v>57127.360000000001</v>
          </cell>
          <cell r="G54">
            <v>57127.360000000001</v>
          </cell>
          <cell r="H54">
            <v>5962.89</v>
          </cell>
          <cell r="I54">
            <v>44926</v>
          </cell>
          <cell r="J54">
            <v>-2695.58</v>
          </cell>
          <cell r="K54">
            <v>-3743.61</v>
          </cell>
        </row>
        <row r="55">
          <cell r="B55" t="str">
            <v>110-350-100</v>
          </cell>
          <cell r="C55" t="str">
            <v>Asset</v>
          </cell>
          <cell r="D55" t="str">
            <v>GST Receivable - DNU</v>
          </cell>
          <cell r="E55" t="str">
            <v>2022</v>
          </cell>
          <cell r="F55">
            <v>0</v>
          </cell>
          <cell r="G55">
            <v>0</v>
          </cell>
          <cell r="H55">
            <v>0</v>
          </cell>
          <cell r="I55">
            <v>44926</v>
          </cell>
          <cell r="J55">
            <v>0</v>
          </cell>
          <cell r="K55">
            <v>0</v>
          </cell>
        </row>
        <row r="56">
          <cell r="B56" t="str">
            <v>110-360-100</v>
          </cell>
          <cell r="C56" t="str">
            <v>Asset</v>
          </cell>
          <cell r="D56" t="str">
            <v>Overpayment Of Taxes To Schools</v>
          </cell>
          <cell r="E56" t="str">
            <v>2022</v>
          </cell>
          <cell r="F56">
            <v>0</v>
          </cell>
          <cell r="G56">
            <v>0</v>
          </cell>
          <cell r="H56">
            <v>0</v>
          </cell>
          <cell r="I56">
            <v>44926</v>
          </cell>
          <cell r="J56">
            <v>0</v>
          </cell>
          <cell r="K56">
            <v>0</v>
          </cell>
        </row>
        <row r="57">
          <cell r="B57" t="str">
            <v>110-370-100</v>
          </cell>
          <cell r="C57" t="str">
            <v>Asset</v>
          </cell>
          <cell r="D57" t="str">
            <v>School Trailer Fees Receivable</v>
          </cell>
          <cell r="E57" t="str">
            <v>2022</v>
          </cell>
          <cell r="F57">
            <v>0</v>
          </cell>
          <cell r="G57">
            <v>0</v>
          </cell>
          <cell r="H57">
            <v>0</v>
          </cell>
          <cell r="I57">
            <v>44926</v>
          </cell>
          <cell r="J57">
            <v>0</v>
          </cell>
          <cell r="K57">
            <v>0</v>
          </cell>
        </row>
        <row r="58">
          <cell r="B58" t="str">
            <v>110-370-110</v>
          </cell>
          <cell r="C58" t="str">
            <v>Asset</v>
          </cell>
          <cell r="D58" t="str">
            <v>School Loans/Advance Receivable</v>
          </cell>
          <cell r="E58" t="str">
            <v>2022</v>
          </cell>
          <cell r="F58">
            <v>0</v>
          </cell>
          <cell r="G58">
            <v>0</v>
          </cell>
          <cell r="H58">
            <v>0</v>
          </cell>
          <cell r="I58">
            <v>44926</v>
          </cell>
          <cell r="J58">
            <v>0</v>
          </cell>
          <cell r="K58">
            <v>0</v>
          </cell>
        </row>
        <row r="59">
          <cell r="B59" t="str">
            <v>110-380-100</v>
          </cell>
          <cell r="C59" t="str">
            <v>Asset</v>
          </cell>
          <cell r="D59" t="str">
            <v>Allowance for Uncollectible Loan/Advance</v>
          </cell>
          <cell r="E59" t="str">
            <v>2022</v>
          </cell>
          <cell r="F59">
            <v>0</v>
          </cell>
          <cell r="G59">
            <v>0</v>
          </cell>
          <cell r="H59">
            <v>0</v>
          </cell>
          <cell r="I59">
            <v>44926</v>
          </cell>
          <cell r="J59">
            <v>0</v>
          </cell>
          <cell r="K59">
            <v>0</v>
          </cell>
        </row>
        <row r="60">
          <cell r="B60" t="str">
            <v>110-400-050</v>
          </cell>
          <cell r="C60" t="str">
            <v>Asset</v>
          </cell>
          <cell r="D60" t="str">
            <v>LAND FOR RESALE</v>
          </cell>
          <cell r="E60" t="str">
            <v>2022</v>
          </cell>
          <cell r="F60">
            <v>0</v>
          </cell>
          <cell r="G60">
            <v>0</v>
          </cell>
          <cell r="H60">
            <v>0</v>
          </cell>
          <cell r="I60">
            <v>44926</v>
          </cell>
          <cell r="J60">
            <v>0</v>
          </cell>
          <cell r="K60">
            <v>0</v>
          </cell>
        </row>
        <row r="61">
          <cell r="B61" t="str">
            <v>110-400-100</v>
          </cell>
          <cell r="C61" t="str">
            <v>Asset</v>
          </cell>
          <cell r="D61" t="str">
            <v>Land For Resale - Block 100</v>
          </cell>
          <cell r="E61" t="str">
            <v>2022</v>
          </cell>
          <cell r="F61">
            <v>0</v>
          </cell>
          <cell r="G61">
            <v>0</v>
          </cell>
          <cell r="H61">
            <v>0</v>
          </cell>
          <cell r="I61">
            <v>44926</v>
          </cell>
          <cell r="J61">
            <v>0</v>
          </cell>
          <cell r="K61">
            <v>4591.26</v>
          </cell>
        </row>
        <row r="62">
          <cell r="B62" t="str">
            <v>110-400-105</v>
          </cell>
          <cell r="C62" t="str">
            <v>Asset</v>
          </cell>
          <cell r="D62" t="str">
            <v>Land For Resale - 4th &amp; 5th - Brook Cres</v>
          </cell>
          <cell r="E62" t="str">
            <v>2022</v>
          </cell>
          <cell r="F62">
            <v>600</v>
          </cell>
          <cell r="G62">
            <v>600</v>
          </cell>
          <cell r="H62">
            <v>1425</v>
          </cell>
          <cell r="I62">
            <v>44926</v>
          </cell>
          <cell r="J62">
            <v>2693.47</v>
          </cell>
          <cell r="K62">
            <v>-4105.75</v>
          </cell>
        </row>
        <row r="63">
          <cell r="B63" t="str">
            <v>110-400-110</v>
          </cell>
          <cell r="C63" t="str">
            <v>Asset</v>
          </cell>
          <cell r="D63" t="str">
            <v>Land For Resale - Hospital/Golf Subdiv</v>
          </cell>
          <cell r="E63" t="str">
            <v>2022</v>
          </cell>
          <cell r="F63">
            <v>0</v>
          </cell>
          <cell r="G63">
            <v>0</v>
          </cell>
          <cell r="H63">
            <v>0</v>
          </cell>
          <cell r="I63">
            <v>44926</v>
          </cell>
          <cell r="J63">
            <v>38206.26</v>
          </cell>
          <cell r="K63">
            <v>5845</v>
          </cell>
        </row>
        <row r="64">
          <cell r="B64" t="str">
            <v>110-400-115</v>
          </cell>
          <cell r="C64" t="str">
            <v>Asset</v>
          </cell>
          <cell r="D64" t="str">
            <v>Land For Resale - Dance Studio</v>
          </cell>
          <cell r="E64" t="str">
            <v>2022</v>
          </cell>
          <cell r="F64">
            <v>0</v>
          </cell>
          <cell r="G64">
            <v>0</v>
          </cell>
          <cell r="H64">
            <v>0</v>
          </cell>
          <cell r="I64">
            <v>44926</v>
          </cell>
          <cell r="J64">
            <v>0</v>
          </cell>
          <cell r="K64">
            <v>0</v>
          </cell>
        </row>
        <row r="65">
          <cell r="B65" t="str">
            <v>110-400-120</v>
          </cell>
          <cell r="C65" t="str">
            <v>Asset</v>
          </cell>
          <cell r="D65" t="str">
            <v>Land For Resale - Hospital</v>
          </cell>
          <cell r="E65" t="str">
            <v>2022</v>
          </cell>
          <cell r="F65">
            <v>0</v>
          </cell>
          <cell r="G65">
            <v>0</v>
          </cell>
          <cell r="H65">
            <v>0</v>
          </cell>
          <cell r="I65">
            <v>44926</v>
          </cell>
          <cell r="J65">
            <v>0</v>
          </cell>
          <cell r="K65">
            <v>0</v>
          </cell>
        </row>
        <row r="66">
          <cell r="B66" t="str">
            <v>110-400-125</v>
          </cell>
          <cell r="C66" t="str">
            <v>Asset</v>
          </cell>
          <cell r="D66" t="str">
            <v>Land For Resale - 5th &amp; 6th St E</v>
          </cell>
          <cell r="E66" t="str">
            <v>2022</v>
          </cell>
          <cell r="F66">
            <v>0</v>
          </cell>
          <cell r="G66">
            <v>0</v>
          </cell>
          <cell r="H66">
            <v>0</v>
          </cell>
          <cell r="I66">
            <v>44926</v>
          </cell>
          <cell r="J66">
            <v>0</v>
          </cell>
          <cell r="K66">
            <v>0</v>
          </cell>
        </row>
        <row r="67">
          <cell r="B67" t="str">
            <v>110-400-130</v>
          </cell>
          <cell r="C67" t="str">
            <v>Asset</v>
          </cell>
          <cell r="D67" t="str">
            <v>Land For Resale - Commercial East &amp; 7th</v>
          </cell>
          <cell r="E67" t="str">
            <v>2022</v>
          </cell>
          <cell r="F67">
            <v>-120000</v>
          </cell>
          <cell r="G67">
            <v>-120000</v>
          </cell>
          <cell r="H67">
            <v>77627</v>
          </cell>
          <cell r="I67">
            <v>44926</v>
          </cell>
          <cell r="J67">
            <v>-26892.1</v>
          </cell>
          <cell r="K67">
            <v>0</v>
          </cell>
        </row>
        <row r="68">
          <cell r="B68" t="str">
            <v>110-400-135</v>
          </cell>
          <cell r="C68" t="str">
            <v>Asset</v>
          </cell>
          <cell r="D68" t="str">
            <v>Land For Resale - Around Lagoon</v>
          </cell>
          <cell r="E68" t="str">
            <v>2022</v>
          </cell>
          <cell r="F68">
            <v>0</v>
          </cell>
          <cell r="G68">
            <v>0</v>
          </cell>
          <cell r="H68">
            <v>0</v>
          </cell>
          <cell r="I68">
            <v>44926</v>
          </cell>
          <cell r="J68">
            <v>0</v>
          </cell>
          <cell r="K68">
            <v>0</v>
          </cell>
        </row>
        <row r="69">
          <cell r="B69" t="str">
            <v>110-400-180</v>
          </cell>
          <cell r="C69" t="str">
            <v>Asset</v>
          </cell>
          <cell r="D69" t="str">
            <v>Land For Resale - Allowance</v>
          </cell>
          <cell r="E69" t="str">
            <v>2022</v>
          </cell>
          <cell r="F69">
            <v>0</v>
          </cell>
          <cell r="G69">
            <v>0</v>
          </cell>
          <cell r="H69">
            <v>0</v>
          </cell>
          <cell r="I69">
            <v>44926</v>
          </cell>
          <cell r="J69">
            <v>0</v>
          </cell>
          <cell r="K69">
            <v>0</v>
          </cell>
        </row>
        <row r="70">
          <cell r="B70" t="str">
            <v>110-410-050</v>
          </cell>
          <cell r="C70" t="str">
            <v>Asset</v>
          </cell>
          <cell r="D70" t="str">
            <v>Tax Title Property</v>
          </cell>
          <cell r="E70" t="str">
            <v>2022</v>
          </cell>
          <cell r="F70">
            <v>0</v>
          </cell>
          <cell r="G70">
            <v>0</v>
          </cell>
          <cell r="H70">
            <v>0</v>
          </cell>
          <cell r="I70">
            <v>44926</v>
          </cell>
          <cell r="J70">
            <v>82577.789999999994</v>
          </cell>
          <cell r="K70">
            <v>0</v>
          </cell>
        </row>
        <row r="71">
          <cell r="B71" t="str">
            <v>110-410-100</v>
          </cell>
          <cell r="C71" t="str">
            <v>Asset</v>
          </cell>
          <cell r="D71" t="str">
            <v>Tax Title Property - Tax Enf. Liab.</v>
          </cell>
          <cell r="E71" t="str">
            <v>2022</v>
          </cell>
          <cell r="F71">
            <v>0</v>
          </cell>
          <cell r="G71">
            <v>0</v>
          </cell>
          <cell r="H71">
            <v>0</v>
          </cell>
          <cell r="I71">
            <v>44926</v>
          </cell>
          <cell r="J71">
            <v>0</v>
          </cell>
          <cell r="K71">
            <v>0</v>
          </cell>
        </row>
        <row r="72">
          <cell r="B72" t="str">
            <v>110-410-200</v>
          </cell>
          <cell r="C72" t="str">
            <v>Asset</v>
          </cell>
          <cell r="D72" t="str">
            <v>Tax Title Property - School</v>
          </cell>
          <cell r="E72" t="str">
            <v>2022</v>
          </cell>
          <cell r="F72">
            <v>0</v>
          </cell>
          <cell r="G72">
            <v>0</v>
          </cell>
          <cell r="H72">
            <v>0</v>
          </cell>
          <cell r="I72">
            <v>44926</v>
          </cell>
          <cell r="J72">
            <v>7236.84</v>
          </cell>
          <cell r="K72">
            <v>0</v>
          </cell>
        </row>
        <row r="73">
          <cell r="B73" t="str">
            <v>110-410-300</v>
          </cell>
          <cell r="C73" t="str">
            <v>Asset</v>
          </cell>
          <cell r="D73" t="str">
            <v xml:space="preserve">Tax Title Property - TE                 </v>
          </cell>
          <cell r="E73" t="str">
            <v>2022</v>
          </cell>
          <cell r="F73">
            <v>0</v>
          </cell>
          <cell r="G73">
            <v>0</v>
          </cell>
          <cell r="H73">
            <v>0</v>
          </cell>
          <cell r="I73">
            <v>44926</v>
          </cell>
          <cell r="J73">
            <v>20701.02</v>
          </cell>
          <cell r="K73">
            <v>0</v>
          </cell>
        </row>
        <row r="74">
          <cell r="B74" t="str">
            <v>110-420-400</v>
          </cell>
          <cell r="C74" t="str">
            <v>Asset</v>
          </cell>
          <cell r="D74" t="str">
            <v>Tax Title Property - School Liabilty</v>
          </cell>
          <cell r="E74" t="str">
            <v>2022</v>
          </cell>
          <cell r="F74">
            <v>0</v>
          </cell>
          <cell r="G74">
            <v>0</v>
          </cell>
          <cell r="H74">
            <v>0</v>
          </cell>
          <cell r="I74">
            <v>44926</v>
          </cell>
          <cell r="J74">
            <v>-7236.84</v>
          </cell>
          <cell r="K74">
            <v>0</v>
          </cell>
        </row>
        <row r="75">
          <cell r="B75" t="str">
            <v>110-420-430</v>
          </cell>
          <cell r="C75" t="str">
            <v>Asset</v>
          </cell>
          <cell r="D75" t="str">
            <v xml:space="preserve">TTP - Due to School - Collected         </v>
          </cell>
          <cell r="E75" t="str">
            <v>2022</v>
          </cell>
          <cell r="F75">
            <v>0</v>
          </cell>
          <cell r="G75">
            <v>0</v>
          </cell>
          <cell r="H75">
            <v>0</v>
          </cell>
          <cell r="I75">
            <v>44926</v>
          </cell>
          <cell r="J75">
            <v>0</v>
          </cell>
          <cell r="K75">
            <v>0</v>
          </cell>
        </row>
        <row r="76">
          <cell r="B76" t="str">
            <v>110-420-460</v>
          </cell>
          <cell r="C76" t="str">
            <v>Asset</v>
          </cell>
          <cell r="D76" t="str">
            <v>Less: C &amp; D #3 - Tax Enf. Liab.</v>
          </cell>
          <cell r="E76" t="str">
            <v>2022</v>
          </cell>
          <cell r="F76">
            <v>0</v>
          </cell>
          <cell r="G76">
            <v>0</v>
          </cell>
          <cell r="H76">
            <v>0</v>
          </cell>
          <cell r="I76">
            <v>44926</v>
          </cell>
          <cell r="J76">
            <v>0</v>
          </cell>
          <cell r="K76">
            <v>0</v>
          </cell>
        </row>
        <row r="77">
          <cell r="B77" t="str">
            <v>110-430-500</v>
          </cell>
          <cell r="C77" t="str">
            <v>Asset</v>
          </cell>
          <cell r="D77" t="str">
            <v>Less: Hospital - Tax Enf. Liab.</v>
          </cell>
          <cell r="E77" t="str">
            <v>2022</v>
          </cell>
          <cell r="F77">
            <v>0</v>
          </cell>
          <cell r="G77">
            <v>0</v>
          </cell>
          <cell r="H77">
            <v>0</v>
          </cell>
          <cell r="I77">
            <v>44926</v>
          </cell>
          <cell r="J77">
            <v>0</v>
          </cell>
          <cell r="K77">
            <v>0</v>
          </cell>
        </row>
        <row r="78">
          <cell r="B78" t="str">
            <v>110-440-600</v>
          </cell>
          <cell r="C78" t="str">
            <v>Asset</v>
          </cell>
          <cell r="D78" t="str">
            <v>Less: Other #1 - Tax Enf. Liab</v>
          </cell>
          <cell r="E78" t="str">
            <v>2022</v>
          </cell>
          <cell r="F78">
            <v>0</v>
          </cell>
          <cell r="G78">
            <v>0</v>
          </cell>
          <cell r="H78">
            <v>0</v>
          </cell>
          <cell r="I78">
            <v>44926</v>
          </cell>
          <cell r="J78">
            <v>0</v>
          </cell>
          <cell r="K78">
            <v>0</v>
          </cell>
        </row>
        <row r="79">
          <cell r="B79" t="str">
            <v>110-440-630</v>
          </cell>
          <cell r="C79" t="str">
            <v>Asset</v>
          </cell>
          <cell r="D79" t="str">
            <v>Less: Other #2 - Tax Enf. Liab.</v>
          </cell>
          <cell r="E79" t="str">
            <v>2022</v>
          </cell>
          <cell r="F79">
            <v>0</v>
          </cell>
          <cell r="G79">
            <v>0</v>
          </cell>
          <cell r="H79">
            <v>0</v>
          </cell>
          <cell r="I79">
            <v>44926</v>
          </cell>
          <cell r="J79">
            <v>0</v>
          </cell>
          <cell r="K79">
            <v>0</v>
          </cell>
        </row>
        <row r="80">
          <cell r="B80" t="str">
            <v>110-440-660</v>
          </cell>
          <cell r="C80" t="str">
            <v>Asset</v>
          </cell>
          <cell r="D80" t="str">
            <v>Less: Other #3 - Tax Enf. Liab.</v>
          </cell>
          <cell r="E80" t="str">
            <v>2022</v>
          </cell>
          <cell r="F80">
            <v>0</v>
          </cell>
          <cell r="G80">
            <v>0</v>
          </cell>
          <cell r="H80">
            <v>0</v>
          </cell>
          <cell r="I80">
            <v>44926</v>
          </cell>
          <cell r="J80">
            <v>0</v>
          </cell>
          <cell r="K80">
            <v>0</v>
          </cell>
        </row>
        <row r="81">
          <cell r="B81" t="str">
            <v>110-450-700</v>
          </cell>
          <cell r="C81" t="str">
            <v>Asset</v>
          </cell>
          <cell r="D81" t="str">
            <v>Less: Mun. Hail - Tax Enf. Liab.</v>
          </cell>
          <cell r="E81" t="str">
            <v>2022</v>
          </cell>
          <cell r="F81">
            <v>0</v>
          </cell>
          <cell r="G81">
            <v>0</v>
          </cell>
          <cell r="H81">
            <v>0</v>
          </cell>
          <cell r="I81">
            <v>44926</v>
          </cell>
          <cell r="J81">
            <v>0</v>
          </cell>
          <cell r="K81">
            <v>0</v>
          </cell>
        </row>
        <row r="82">
          <cell r="B82" t="str">
            <v>110-460-750</v>
          </cell>
          <cell r="C82" t="str">
            <v>Asset</v>
          </cell>
          <cell r="D82" t="str">
            <v>Less:  TTP Market Value Adjustment</v>
          </cell>
          <cell r="E82" t="str">
            <v>2022</v>
          </cell>
          <cell r="F82">
            <v>0</v>
          </cell>
          <cell r="G82">
            <v>0</v>
          </cell>
          <cell r="H82">
            <v>0</v>
          </cell>
          <cell r="I82">
            <v>44926</v>
          </cell>
          <cell r="J82">
            <v>0</v>
          </cell>
          <cell r="K82">
            <v>0</v>
          </cell>
        </row>
        <row r="83">
          <cell r="B83" t="str">
            <v>110-470-800</v>
          </cell>
          <cell r="C83" t="str">
            <v>Asset</v>
          </cell>
          <cell r="D83" t="str">
            <v>Other Land for Resale</v>
          </cell>
          <cell r="E83" t="str">
            <v>2022</v>
          </cell>
          <cell r="F83">
            <v>0</v>
          </cell>
          <cell r="G83">
            <v>0</v>
          </cell>
          <cell r="H83">
            <v>0</v>
          </cell>
          <cell r="I83">
            <v>44926</v>
          </cell>
          <cell r="J83">
            <v>0</v>
          </cell>
          <cell r="K83">
            <v>0</v>
          </cell>
        </row>
        <row r="84">
          <cell r="B84" t="str">
            <v>110-480-810</v>
          </cell>
          <cell r="C84" t="str">
            <v>Asset</v>
          </cell>
          <cell r="D84" t="str">
            <v>Less: Market Value Adjustment</v>
          </cell>
          <cell r="E84" t="str">
            <v>2022</v>
          </cell>
          <cell r="F84">
            <v>0</v>
          </cell>
          <cell r="G84">
            <v>0</v>
          </cell>
          <cell r="H84">
            <v>0</v>
          </cell>
          <cell r="I84">
            <v>44926</v>
          </cell>
          <cell r="J84">
            <v>0</v>
          </cell>
          <cell r="K84">
            <v>0</v>
          </cell>
        </row>
        <row r="85">
          <cell r="B85" t="str">
            <v>110-500-050</v>
          </cell>
          <cell r="C85" t="str">
            <v>Asset</v>
          </cell>
          <cell r="D85" t="str">
            <v>LONG TERM INVESTMENTS</v>
          </cell>
          <cell r="E85" t="str">
            <v>2022</v>
          </cell>
          <cell r="F85">
            <v>0</v>
          </cell>
          <cell r="G85">
            <v>0</v>
          </cell>
          <cell r="H85">
            <v>0</v>
          </cell>
          <cell r="I85">
            <v>44926</v>
          </cell>
          <cell r="J85">
            <v>0</v>
          </cell>
          <cell r="K85">
            <v>0</v>
          </cell>
        </row>
        <row r="86">
          <cell r="B86" t="str">
            <v>110-500-100</v>
          </cell>
          <cell r="C86" t="str">
            <v>Asset</v>
          </cell>
          <cell r="D86" t="str">
            <v>Federal/Federal Agencies</v>
          </cell>
          <cell r="E86" t="str">
            <v>2022</v>
          </cell>
          <cell r="F86">
            <v>0</v>
          </cell>
          <cell r="G86">
            <v>0</v>
          </cell>
          <cell r="H86">
            <v>0</v>
          </cell>
          <cell r="I86">
            <v>44926</v>
          </cell>
          <cell r="J86">
            <v>0</v>
          </cell>
          <cell r="K86">
            <v>0</v>
          </cell>
        </row>
        <row r="87">
          <cell r="B87" t="str">
            <v>110-500-200</v>
          </cell>
          <cell r="C87" t="str">
            <v>Asset</v>
          </cell>
          <cell r="D87" t="str">
            <v>Province/Provincial Agencies</v>
          </cell>
          <cell r="E87" t="str">
            <v>2022</v>
          </cell>
          <cell r="F87">
            <v>0</v>
          </cell>
          <cell r="G87">
            <v>0</v>
          </cell>
          <cell r="H87">
            <v>0</v>
          </cell>
          <cell r="I87">
            <v>44926</v>
          </cell>
          <cell r="J87">
            <v>0</v>
          </cell>
          <cell r="K87">
            <v>0</v>
          </cell>
        </row>
        <row r="88">
          <cell r="B88" t="str">
            <v>110-500-300</v>
          </cell>
          <cell r="C88" t="str">
            <v>Asset</v>
          </cell>
          <cell r="D88" t="str">
            <v>Other Agencies</v>
          </cell>
          <cell r="E88" t="str">
            <v>2022</v>
          </cell>
          <cell r="F88">
            <v>0</v>
          </cell>
          <cell r="G88">
            <v>0</v>
          </cell>
          <cell r="H88">
            <v>0</v>
          </cell>
          <cell r="I88">
            <v>44926</v>
          </cell>
          <cell r="J88">
            <v>0</v>
          </cell>
          <cell r="K88">
            <v>0</v>
          </cell>
        </row>
        <row r="89">
          <cell r="B89" t="str">
            <v>110-500-400</v>
          </cell>
          <cell r="C89" t="str">
            <v>Asset</v>
          </cell>
          <cell r="D89" t="str">
            <v>Local Government/Own Municipality</v>
          </cell>
          <cell r="E89" t="str">
            <v>2022</v>
          </cell>
          <cell r="F89">
            <v>0</v>
          </cell>
          <cell r="G89">
            <v>0</v>
          </cell>
          <cell r="H89">
            <v>0</v>
          </cell>
          <cell r="I89">
            <v>44926</v>
          </cell>
          <cell r="J89">
            <v>0</v>
          </cell>
          <cell r="K89">
            <v>0</v>
          </cell>
        </row>
        <row r="90">
          <cell r="B90" t="str">
            <v>110-500-900</v>
          </cell>
          <cell r="C90" t="str">
            <v>Asset</v>
          </cell>
          <cell r="D90" t="str">
            <v>Other Long Term Investments</v>
          </cell>
          <cell r="E90" t="str">
            <v>2022</v>
          </cell>
          <cell r="F90">
            <v>0</v>
          </cell>
          <cell r="G90">
            <v>0</v>
          </cell>
          <cell r="H90">
            <v>0</v>
          </cell>
          <cell r="I90">
            <v>44926</v>
          </cell>
          <cell r="J90">
            <v>0</v>
          </cell>
          <cell r="K90">
            <v>0</v>
          </cell>
        </row>
        <row r="91">
          <cell r="B91" t="str">
            <v>110-510-050</v>
          </cell>
          <cell r="C91" t="str">
            <v>Asset</v>
          </cell>
          <cell r="D91" t="str">
            <v>LOANS AND ADVANCES</v>
          </cell>
          <cell r="E91" t="str">
            <v>2022</v>
          </cell>
          <cell r="F91">
            <v>0</v>
          </cell>
          <cell r="G91">
            <v>0</v>
          </cell>
          <cell r="H91">
            <v>0</v>
          </cell>
          <cell r="I91">
            <v>44926</v>
          </cell>
          <cell r="J91">
            <v>0</v>
          </cell>
          <cell r="K91">
            <v>0</v>
          </cell>
        </row>
        <row r="92">
          <cell r="B92" t="str">
            <v>110-510-100</v>
          </cell>
          <cell r="C92" t="str">
            <v>Asset</v>
          </cell>
          <cell r="D92" t="str">
            <v>Loan #1</v>
          </cell>
          <cell r="E92" t="str">
            <v>2022</v>
          </cell>
          <cell r="F92">
            <v>0</v>
          </cell>
          <cell r="G92">
            <v>0</v>
          </cell>
          <cell r="H92">
            <v>0</v>
          </cell>
          <cell r="I92">
            <v>44926</v>
          </cell>
          <cell r="J92">
            <v>0</v>
          </cell>
          <cell r="K92">
            <v>0</v>
          </cell>
        </row>
        <row r="93">
          <cell r="B93" t="str">
            <v>110-510-200</v>
          </cell>
          <cell r="C93" t="str">
            <v>Asset</v>
          </cell>
          <cell r="D93" t="str">
            <v>Loan #2</v>
          </cell>
          <cell r="E93" t="str">
            <v>2022</v>
          </cell>
          <cell r="F93">
            <v>0</v>
          </cell>
          <cell r="G93">
            <v>0</v>
          </cell>
          <cell r="H93">
            <v>0</v>
          </cell>
          <cell r="I93">
            <v>44926</v>
          </cell>
          <cell r="J93">
            <v>0</v>
          </cell>
          <cell r="K93">
            <v>0</v>
          </cell>
        </row>
        <row r="94">
          <cell r="B94" t="str">
            <v>110-590-050</v>
          </cell>
          <cell r="C94" t="str">
            <v>Asset</v>
          </cell>
          <cell r="D94" t="str">
            <v>OTHER FINANCIAL ASSETS</v>
          </cell>
          <cell r="E94" t="str">
            <v>2022</v>
          </cell>
          <cell r="F94">
            <v>0</v>
          </cell>
          <cell r="G94">
            <v>0</v>
          </cell>
          <cell r="H94">
            <v>0</v>
          </cell>
          <cell r="I94">
            <v>44926</v>
          </cell>
          <cell r="J94">
            <v>0</v>
          </cell>
          <cell r="K94">
            <v>0</v>
          </cell>
        </row>
        <row r="95">
          <cell r="B95" t="str">
            <v>110-590-100</v>
          </cell>
          <cell r="C95" t="str">
            <v>Asset</v>
          </cell>
          <cell r="D95" t="str">
            <v>Nursing Home Shares</v>
          </cell>
          <cell r="E95" t="str">
            <v>2022</v>
          </cell>
          <cell r="F95">
            <v>0</v>
          </cell>
          <cell r="G95">
            <v>0</v>
          </cell>
          <cell r="H95">
            <v>0</v>
          </cell>
          <cell r="I95">
            <v>44926</v>
          </cell>
          <cell r="J95">
            <v>0</v>
          </cell>
          <cell r="K95">
            <v>0</v>
          </cell>
        </row>
        <row r="96">
          <cell r="B96" t="str">
            <v>110-590-200</v>
          </cell>
          <cell r="C96" t="str">
            <v>Asset</v>
          </cell>
          <cell r="D96" t="str">
            <v>Co-op Shares</v>
          </cell>
          <cell r="E96" t="str">
            <v>2022</v>
          </cell>
          <cell r="F96">
            <v>0</v>
          </cell>
          <cell r="G96">
            <v>0</v>
          </cell>
          <cell r="H96">
            <v>0</v>
          </cell>
          <cell r="I96">
            <v>44926</v>
          </cell>
          <cell r="J96">
            <v>0</v>
          </cell>
          <cell r="K96">
            <v>0</v>
          </cell>
        </row>
        <row r="97">
          <cell r="B97" t="str">
            <v>110-590-300</v>
          </cell>
          <cell r="C97" t="str">
            <v>Asset</v>
          </cell>
          <cell r="D97" t="str">
            <v>Other Shares #1</v>
          </cell>
          <cell r="E97" t="str">
            <v>2022</v>
          </cell>
          <cell r="F97">
            <v>0</v>
          </cell>
          <cell r="G97">
            <v>0</v>
          </cell>
          <cell r="H97">
            <v>0</v>
          </cell>
          <cell r="I97">
            <v>44926</v>
          </cell>
          <cell r="J97">
            <v>0</v>
          </cell>
          <cell r="K97">
            <v>0</v>
          </cell>
        </row>
        <row r="98">
          <cell r="B98" t="str">
            <v>110-590-800</v>
          </cell>
          <cell r="C98" t="str">
            <v>Asset</v>
          </cell>
          <cell r="D98" t="str">
            <v>Other Financial Assets</v>
          </cell>
          <cell r="E98" t="str">
            <v>2022</v>
          </cell>
          <cell r="F98">
            <v>0</v>
          </cell>
          <cell r="G98">
            <v>0</v>
          </cell>
          <cell r="H98">
            <v>0</v>
          </cell>
          <cell r="I98">
            <v>44926</v>
          </cell>
          <cell r="J98">
            <v>0</v>
          </cell>
          <cell r="K98">
            <v>0</v>
          </cell>
        </row>
        <row r="99">
          <cell r="B99" t="str">
            <v>110-590-900</v>
          </cell>
          <cell r="C99" t="str">
            <v>Asset</v>
          </cell>
          <cell r="D99" t="str">
            <v>Less: Allowance for Shares</v>
          </cell>
          <cell r="E99" t="str">
            <v>2022</v>
          </cell>
          <cell r="F99">
            <v>0</v>
          </cell>
          <cell r="G99">
            <v>0</v>
          </cell>
          <cell r="H99">
            <v>0</v>
          </cell>
          <cell r="I99">
            <v>44926</v>
          </cell>
          <cell r="J99">
            <v>0</v>
          </cell>
          <cell r="K99">
            <v>0</v>
          </cell>
        </row>
        <row r="100">
          <cell r="B100" t="str">
            <v>120-100-050</v>
          </cell>
          <cell r="C100" t="str">
            <v>Asset</v>
          </cell>
          <cell r="D100" t="str">
            <v>NON-FINANCIAL ASSETS</v>
          </cell>
          <cell r="E100" t="str">
            <v>2022</v>
          </cell>
          <cell r="F100">
            <v>0</v>
          </cell>
          <cell r="G100">
            <v>0</v>
          </cell>
          <cell r="H100">
            <v>0</v>
          </cell>
          <cell r="I100">
            <v>44926</v>
          </cell>
          <cell r="J100">
            <v>0</v>
          </cell>
          <cell r="K100">
            <v>0</v>
          </cell>
        </row>
        <row r="101">
          <cell r="B101" t="str">
            <v>120-110-050</v>
          </cell>
          <cell r="C101" t="str">
            <v>Asset</v>
          </cell>
          <cell r="D101" t="str">
            <v>PREPAYMENTS &amp; DEFERRED CHARGES</v>
          </cell>
          <cell r="E101" t="str">
            <v>2022</v>
          </cell>
          <cell r="F101">
            <v>0</v>
          </cell>
          <cell r="G101">
            <v>0</v>
          </cell>
          <cell r="H101">
            <v>0</v>
          </cell>
          <cell r="I101">
            <v>44926</v>
          </cell>
          <cell r="J101">
            <v>0</v>
          </cell>
          <cell r="K101">
            <v>0</v>
          </cell>
        </row>
        <row r="102">
          <cell r="B102" t="str">
            <v>120-110-100</v>
          </cell>
          <cell r="C102" t="str">
            <v>Asset</v>
          </cell>
          <cell r="D102" t="str">
            <v>Prepaid Expense</v>
          </cell>
          <cell r="E102" t="str">
            <v>2022</v>
          </cell>
          <cell r="F102">
            <v>-42054.15</v>
          </cell>
          <cell r="G102">
            <v>-42054.15</v>
          </cell>
          <cell r="H102">
            <v>21986.02</v>
          </cell>
          <cell r="I102">
            <v>44926</v>
          </cell>
          <cell r="J102">
            <v>-1837.49</v>
          </cell>
          <cell r="K102">
            <v>2984.46</v>
          </cell>
        </row>
        <row r="103">
          <cell r="B103" t="str">
            <v>120-110-110</v>
          </cell>
          <cell r="C103" t="str">
            <v>Asset</v>
          </cell>
          <cell r="D103" t="str">
            <v>Land Titles Deposits</v>
          </cell>
          <cell r="E103" t="str">
            <v>2022</v>
          </cell>
          <cell r="F103">
            <v>0</v>
          </cell>
          <cell r="G103">
            <v>0</v>
          </cell>
          <cell r="H103">
            <v>-776.16</v>
          </cell>
          <cell r="I103">
            <v>44926</v>
          </cell>
          <cell r="J103">
            <v>0</v>
          </cell>
          <cell r="K103">
            <v>586.29999999999995</v>
          </cell>
        </row>
        <row r="104">
          <cell r="B104" t="str">
            <v>120-110-200</v>
          </cell>
          <cell r="C104" t="str">
            <v>Asset</v>
          </cell>
          <cell r="D104" t="str">
            <v>Deposits (Information Services Account)</v>
          </cell>
          <cell r="E104" t="str">
            <v>2022</v>
          </cell>
          <cell r="F104">
            <v>1000</v>
          </cell>
          <cell r="G104">
            <v>1000</v>
          </cell>
          <cell r="H104">
            <v>-68.599999999999994</v>
          </cell>
          <cell r="I104">
            <v>44926</v>
          </cell>
          <cell r="J104">
            <v>0</v>
          </cell>
          <cell r="K104">
            <v>0</v>
          </cell>
        </row>
        <row r="105">
          <cell r="B105" t="str">
            <v>120-110-400</v>
          </cell>
          <cell r="C105" t="str">
            <v>Asset</v>
          </cell>
          <cell r="D105" t="str">
            <v>Other Prepayments</v>
          </cell>
          <cell r="E105" t="str">
            <v>2022</v>
          </cell>
          <cell r="F105">
            <v>0</v>
          </cell>
          <cell r="G105">
            <v>0</v>
          </cell>
          <cell r="H105">
            <v>0</v>
          </cell>
          <cell r="I105">
            <v>44926</v>
          </cell>
          <cell r="J105">
            <v>0</v>
          </cell>
          <cell r="K105">
            <v>0</v>
          </cell>
        </row>
        <row r="106">
          <cell r="B106" t="str">
            <v>120-110-500</v>
          </cell>
          <cell r="C106" t="str">
            <v>Asset</v>
          </cell>
          <cell r="D106" t="str">
            <v>Other Prepayments</v>
          </cell>
          <cell r="E106" t="str">
            <v>2022</v>
          </cell>
          <cell r="F106">
            <v>0</v>
          </cell>
          <cell r="G106">
            <v>0</v>
          </cell>
          <cell r="H106">
            <v>0</v>
          </cell>
          <cell r="I106">
            <v>44926</v>
          </cell>
          <cell r="J106">
            <v>0</v>
          </cell>
          <cell r="K106">
            <v>0</v>
          </cell>
        </row>
        <row r="107">
          <cell r="B107" t="str">
            <v>120-110-600</v>
          </cell>
          <cell r="C107" t="str">
            <v>Asset</v>
          </cell>
          <cell r="D107" t="str">
            <v>Other Deferred Charges</v>
          </cell>
          <cell r="E107" t="str">
            <v>2022</v>
          </cell>
          <cell r="F107">
            <v>0</v>
          </cell>
          <cell r="G107">
            <v>0</v>
          </cell>
          <cell r="H107">
            <v>0</v>
          </cell>
          <cell r="I107">
            <v>44926</v>
          </cell>
          <cell r="J107">
            <v>0</v>
          </cell>
          <cell r="K107">
            <v>0</v>
          </cell>
        </row>
        <row r="108">
          <cell r="B108" t="str">
            <v>120-110-700</v>
          </cell>
          <cell r="C108" t="str">
            <v>Asset</v>
          </cell>
          <cell r="D108" t="str">
            <v>Other Deferred Charges</v>
          </cell>
          <cell r="E108" t="str">
            <v>2022</v>
          </cell>
          <cell r="F108">
            <v>0</v>
          </cell>
          <cell r="G108">
            <v>0</v>
          </cell>
          <cell r="H108">
            <v>0</v>
          </cell>
          <cell r="I108">
            <v>44926</v>
          </cell>
          <cell r="J108">
            <v>0</v>
          </cell>
          <cell r="K108">
            <v>0</v>
          </cell>
        </row>
        <row r="109">
          <cell r="B109" t="str">
            <v>120-200-050</v>
          </cell>
          <cell r="C109" t="str">
            <v>Asset</v>
          </cell>
          <cell r="D109" t="str">
            <v>STOCK &amp; SUPPLIES</v>
          </cell>
          <cell r="E109" t="str">
            <v>2022</v>
          </cell>
          <cell r="F109">
            <v>0</v>
          </cell>
          <cell r="G109">
            <v>0</v>
          </cell>
          <cell r="H109">
            <v>0</v>
          </cell>
          <cell r="I109">
            <v>44926</v>
          </cell>
          <cell r="J109">
            <v>0</v>
          </cell>
          <cell r="K109">
            <v>0</v>
          </cell>
        </row>
        <row r="110">
          <cell r="B110" t="str">
            <v>120-200-100</v>
          </cell>
          <cell r="C110" t="str">
            <v>Asset</v>
          </cell>
          <cell r="D110" t="str">
            <v>Inventory - General</v>
          </cell>
          <cell r="E110" t="str">
            <v>2022</v>
          </cell>
          <cell r="F110">
            <v>0</v>
          </cell>
          <cell r="G110">
            <v>0</v>
          </cell>
          <cell r="H110">
            <v>0</v>
          </cell>
          <cell r="I110">
            <v>44926</v>
          </cell>
          <cell r="J110">
            <v>0</v>
          </cell>
          <cell r="K110">
            <v>0</v>
          </cell>
        </row>
        <row r="111">
          <cell r="B111" t="str">
            <v>120-200-110</v>
          </cell>
          <cell r="C111" t="str">
            <v>Asset</v>
          </cell>
          <cell r="D111" t="str">
            <v>Inventory - Gravel</v>
          </cell>
          <cell r="E111" t="str">
            <v>2022</v>
          </cell>
          <cell r="F111">
            <v>0</v>
          </cell>
          <cell r="G111">
            <v>0</v>
          </cell>
          <cell r="H111">
            <v>0</v>
          </cell>
          <cell r="I111">
            <v>44926</v>
          </cell>
          <cell r="J111">
            <v>8950</v>
          </cell>
          <cell r="K111">
            <v>0</v>
          </cell>
        </row>
        <row r="112">
          <cell r="B112" t="str">
            <v>120-200-900</v>
          </cell>
          <cell r="C112" t="str">
            <v>Asset</v>
          </cell>
          <cell r="D112" t="str">
            <v>Less: Allowance for Inventory</v>
          </cell>
          <cell r="E112" t="str">
            <v>2022</v>
          </cell>
          <cell r="F112">
            <v>0</v>
          </cell>
          <cell r="G112">
            <v>0</v>
          </cell>
          <cell r="H112">
            <v>0</v>
          </cell>
          <cell r="I112">
            <v>44926</v>
          </cell>
          <cell r="J112">
            <v>0</v>
          </cell>
          <cell r="K112">
            <v>0</v>
          </cell>
        </row>
        <row r="113">
          <cell r="B113" t="str">
            <v>120-900-050</v>
          </cell>
          <cell r="C113" t="str">
            <v>Asset</v>
          </cell>
          <cell r="D113" t="str">
            <v>OTHER NON FINANCIAL ASSETS</v>
          </cell>
          <cell r="E113" t="str">
            <v>2022</v>
          </cell>
          <cell r="F113">
            <v>0</v>
          </cell>
          <cell r="G113">
            <v>0</v>
          </cell>
          <cell r="H113">
            <v>0</v>
          </cell>
          <cell r="I113">
            <v>44926</v>
          </cell>
          <cell r="J113">
            <v>0</v>
          </cell>
          <cell r="K113">
            <v>0</v>
          </cell>
        </row>
        <row r="114">
          <cell r="B114" t="str">
            <v>120-900-100</v>
          </cell>
          <cell r="C114" t="str">
            <v>Asset</v>
          </cell>
          <cell r="D114" t="str">
            <v>Other Non Financial Assets #1</v>
          </cell>
          <cell r="E114" t="str">
            <v>2022</v>
          </cell>
          <cell r="F114">
            <v>0</v>
          </cell>
          <cell r="G114">
            <v>0</v>
          </cell>
          <cell r="H114">
            <v>0</v>
          </cell>
          <cell r="I114">
            <v>44926</v>
          </cell>
          <cell r="J114">
            <v>0</v>
          </cell>
          <cell r="K114">
            <v>0</v>
          </cell>
        </row>
        <row r="115">
          <cell r="B115" t="str">
            <v>120-900-200</v>
          </cell>
          <cell r="C115" t="str">
            <v>Asset</v>
          </cell>
          <cell r="D115" t="str">
            <v>Other Non Financial Assets #2</v>
          </cell>
          <cell r="E115" t="str">
            <v>2022</v>
          </cell>
          <cell r="F115">
            <v>0</v>
          </cell>
          <cell r="G115">
            <v>0</v>
          </cell>
          <cell r="H115">
            <v>0</v>
          </cell>
          <cell r="I115">
            <v>44926</v>
          </cell>
          <cell r="J115">
            <v>0</v>
          </cell>
          <cell r="K115">
            <v>0</v>
          </cell>
        </row>
        <row r="116">
          <cell r="B116" t="str">
            <v>120-900-300</v>
          </cell>
          <cell r="C116" t="str">
            <v>Asset</v>
          </cell>
          <cell r="D116" t="str">
            <v>Other Non Financial Assets #3</v>
          </cell>
          <cell r="E116" t="str">
            <v>2022</v>
          </cell>
          <cell r="F116">
            <v>0</v>
          </cell>
          <cell r="G116">
            <v>0</v>
          </cell>
          <cell r="H116">
            <v>0</v>
          </cell>
          <cell r="I116">
            <v>44926</v>
          </cell>
          <cell r="J116">
            <v>0</v>
          </cell>
          <cell r="K116">
            <v>0</v>
          </cell>
        </row>
        <row r="117">
          <cell r="B117" t="str">
            <v>170-100-100</v>
          </cell>
          <cell r="C117" t="str">
            <v>Asset</v>
          </cell>
          <cell r="D117" t="str">
            <v xml:space="preserve">Land                                    </v>
          </cell>
          <cell r="E117" t="str">
            <v>2022</v>
          </cell>
          <cell r="F117">
            <v>0</v>
          </cell>
          <cell r="G117">
            <v>0</v>
          </cell>
          <cell r="H117">
            <v>0</v>
          </cell>
          <cell r="I117">
            <v>44926</v>
          </cell>
          <cell r="J117">
            <v>-9000</v>
          </cell>
          <cell r="K117">
            <v>0</v>
          </cell>
        </row>
        <row r="118">
          <cell r="B118" t="str">
            <v>170-100-110</v>
          </cell>
          <cell r="C118" t="str">
            <v>Asset</v>
          </cell>
          <cell r="D118" t="str">
            <v xml:space="preserve">Land Improvements                       </v>
          </cell>
          <cell r="E118" t="str">
            <v>2022</v>
          </cell>
          <cell r="F118">
            <v>0</v>
          </cell>
          <cell r="G118">
            <v>0</v>
          </cell>
          <cell r="H118">
            <v>0</v>
          </cell>
          <cell r="I118">
            <v>44926</v>
          </cell>
          <cell r="J118">
            <v>0</v>
          </cell>
          <cell r="K118">
            <v>91472.72</v>
          </cell>
        </row>
        <row r="119">
          <cell r="B119" t="str">
            <v>170-100-120</v>
          </cell>
          <cell r="C119" t="str">
            <v>Asset</v>
          </cell>
          <cell r="D119" t="str">
            <v>Land Improvements - Accum Amort</v>
          </cell>
          <cell r="E119" t="str">
            <v>2022</v>
          </cell>
          <cell r="F119">
            <v>0</v>
          </cell>
          <cell r="G119">
            <v>0</v>
          </cell>
          <cell r="H119">
            <v>-198637.11</v>
          </cell>
          <cell r="I119">
            <v>44926</v>
          </cell>
          <cell r="J119">
            <v>-198637.12</v>
          </cell>
          <cell r="K119">
            <v>-196350.3</v>
          </cell>
        </row>
        <row r="120">
          <cell r="B120" t="str">
            <v>170-100-200</v>
          </cell>
          <cell r="C120" t="str">
            <v>Asset</v>
          </cell>
          <cell r="D120" t="str">
            <v xml:space="preserve">Buildings                               </v>
          </cell>
          <cell r="E120" t="str">
            <v>2022</v>
          </cell>
          <cell r="F120">
            <v>0</v>
          </cell>
          <cell r="G120">
            <v>0</v>
          </cell>
          <cell r="H120">
            <v>57466.95</v>
          </cell>
          <cell r="I120">
            <v>44926</v>
          </cell>
          <cell r="J120">
            <v>34093.1</v>
          </cell>
          <cell r="K120">
            <v>-127918.87</v>
          </cell>
        </row>
        <row r="121">
          <cell r="B121" t="str">
            <v>170-100-210</v>
          </cell>
          <cell r="C121" t="str">
            <v>Asset</v>
          </cell>
          <cell r="D121" t="str">
            <v xml:space="preserve">Buildings Accumulated Amortization      </v>
          </cell>
          <cell r="E121" t="str">
            <v>2022</v>
          </cell>
          <cell r="F121">
            <v>0</v>
          </cell>
          <cell r="G121">
            <v>0</v>
          </cell>
          <cell r="H121">
            <v>-33878.26</v>
          </cell>
          <cell r="I121">
            <v>44926</v>
          </cell>
          <cell r="J121">
            <v>-30993.13</v>
          </cell>
          <cell r="K121">
            <v>-691.26</v>
          </cell>
        </row>
        <row r="122">
          <cell r="B122" t="str">
            <v>170-100-350</v>
          </cell>
          <cell r="C122" t="str">
            <v>Asset</v>
          </cell>
          <cell r="D122" t="str">
            <v xml:space="preserve">Machinery &amp; Equipment                   </v>
          </cell>
          <cell r="E122" t="str">
            <v>2022</v>
          </cell>
          <cell r="F122">
            <v>0</v>
          </cell>
          <cell r="G122">
            <v>0</v>
          </cell>
          <cell r="H122">
            <v>91410.06</v>
          </cell>
          <cell r="I122">
            <v>44926</v>
          </cell>
          <cell r="J122">
            <v>128093.8</v>
          </cell>
          <cell r="K122">
            <v>134860.96</v>
          </cell>
        </row>
        <row r="123">
          <cell r="B123" t="str">
            <v>170-100-360</v>
          </cell>
          <cell r="C123" t="str">
            <v>Asset</v>
          </cell>
          <cell r="D123" t="str">
            <v>Machinery &amp; Equipment Accum Amortization</v>
          </cell>
          <cell r="E123" t="str">
            <v>2022</v>
          </cell>
          <cell r="F123">
            <v>0</v>
          </cell>
          <cell r="G123">
            <v>0</v>
          </cell>
          <cell r="H123">
            <v>-52435.92</v>
          </cell>
          <cell r="I123">
            <v>44926</v>
          </cell>
          <cell r="J123">
            <v>-78429.03</v>
          </cell>
          <cell r="K123">
            <v>-51769.47</v>
          </cell>
        </row>
        <row r="124">
          <cell r="B124" t="str">
            <v>170-100-400</v>
          </cell>
          <cell r="C124" t="str">
            <v>Asset</v>
          </cell>
          <cell r="D124" t="str">
            <v xml:space="preserve">Vehicles                                </v>
          </cell>
          <cell r="E124" t="str">
            <v>2022</v>
          </cell>
          <cell r="F124">
            <v>0</v>
          </cell>
          <cell r="G124">
            <v>0</v>
          </cell>
          <cell r="H124">
            <v>0</v>
          </cell>
          <cell r="I124">
            <v>44926</v>
          </cell>
          <cell r="J124">
            <v>0</v>
          </cell>
          <cell r="K124">
            <v>38939.24</v>
          </cell>
        </row>
        <row r="125">
          <cell r="B125" t="str">
            <v>170-100-410</v>
          </cell>
          <cell r="C125" t="str">
            <v>Asset</v>
          </cell>
          <cell r="D125" t="str">
            <v xml:space="preserve">Vehicles Accumulated Amortization       </v>
          </cell>
          <cell r="E125" t="str">
            <v>2022</v>
          </cell>
          <cell r="F125">
            <v>0</v>
          </cell>
          <cell r="G125">
            <v>0</v>
          </cell>
          <cell r="H125">
            <v>-9628.7199999999993</v>
          </cell>
          <cell r="I125">
            <v>44926</v>
          </cell>
          <cell r="J125">
            <v>-9628.7199999999993</v>
          </cell>
          <cell r="K125">
            <v>-5734.8</v>
          </cell>
        </row>
        <row r="126">
          <cell r="B126" t="str">
            <v>170-100-500</v>
          </cell>
          <cell r="C126" t="str">
            <v>Asset</v>
          </cell>
          <cell r="D126" t="str">
            <v>Road/Street Construction</v>
          </cell>
          <cell r="E126" t="str">
            <v>2022</v>
          </cell>
          <cell r="F126">
            <v>0</v>
          </cell>
          <cell r="G126">
            <v>0</v>
          </cell>
          <cell r="H126">
            <v>0</v>
          </cell>
          <cell r="I126">
            <v>44926</v>
          </cell>
          <cell r="J126">
            <v>0</v>
          </cell>
          <cell r="K126">
            <v>0</v>
          </cell>
        </row>
        <row r="127">
          <cell r="B127" t="str">
            <v>170-100-510</v>
          </cell>
          <cell r="C127" t="str">
            <v>Asset</v>
          </cell>
          <cell r="D127" t="str">
            <v>Road/Street Construction Accum Amort</v>
          </cell>
          <cell r="E127" t="str">
            <v>2022</v>
          </cell>
          <cell r="F127">
            <v>0</v>
          </cell>
          <cell r="G127">
            <v>0</v>
          </cell>
          <cell r="H127">
            <v>-25968.61</v>
          </cell>
          <cell r="I127">
            <v>44926</v>
          </cell>
          <cell r="J127">
            <v>-25968.61</v>
          </cell>
          <cell r="K127">
            <v>-25969.39</v>
          </cell>
        </row>
        <row r="128">
          <cell r="B128" t="str">
            <v>170-100-520</v>
          </cell>
          <cell r="C128" t="str">
            <v>Asset</v>
          </cell>
          <cell r="D128" t="str">
            <v xml:space="preserve">Road/Street Paving Cost                 </v>
          </cell>
          <cell r="E128" t="str">
            <v>2022</v>
          </cell>
          <cell r="F128">
            <v>0</v>
          </cell>
          <cell r="G128">
            <v>0</v>
          </cell>
          <cell r="H128">
            <v>0</v>
          </cell>
          <cell r="I128">
            <v>44926</v>
          </cell>
          <cell r="J128">
            <v>0</v>
          </cell>
          <cell r="K128">
            <v>0</v>
          </cell>
        </row>
        <row r="129">
          <cell r="B129" t="str">
            <v>170-100-600</v>
          </cell>
          <cell r="C129" t="str">
            <v>Asset</v>
          </cell>
          <cell r="D129" t="str">
            <v>Water Costs</v>
          </cell>
          <cell r="E129" t="str">
            <v>2022</v>
          </cell>
          <cell r="F129">
            <v>0</v>
          </cell>
          <cell r="G129">
            <v>0</v>
          </cell>
          <cell r="H129">
            <v>0</v>
          </cell>
          <cell r="I129">
            <v>44926</v>
          </cell>
          <cell r="J129">
            <v>0</v>
          </cell>
          <cell r="K129">
            <v>0</v>
          </cell>
        </row>
        <row r="130">
          <cell r="B130" t="str">
            <v>170-100-610</v>
          </cell>
          <cell r="C130" t="str">
            <v>Asset</v>
          </cell>
          <cell r="D130" t="str">
            <v>Water Costs Accumulated Amortization</v>
          </cell>
          <cell r="E130" t="str">
            <v>2022</v>
          </cell>
          <cell r="F130">
            <v>0</v>
          </cell>
          <cell r="G130">
            <v>0</v>
          </cell>
          <cell r="H130">
            <v>0</v>
          </cell>
          <cell r="I130">
            <v>44926</v>
          </cell>
          <cell r="J130">
            <v>0</v>
          </cell>
          <cell r="K130">
            <v>-130188.86</v>
          </cell>
        </row>
        <row r="131">
          <cell r="B131" t="str">
            <v>170-100-800</v>
          </cell>
          <cell r="C131" t="str">
            <v>Asset</v>
          </cell>
          <cell r="D131" t="str">
            <v>Waste Water/Drainage Costs</v>
          </cell>
          <cell r="E131" t="str">
            <v>2022</v>
          </cell>
          <cell r="F131">
            <v>0</v>
          </cell>
          <cell r="G131">
            <v>0</v>
          </cell>
          <cell r="H131">
            <v>189593.27</v>
          </cell>
          <cell r="I131">
            <v>44926</v>
          </cell>
          <cell r="J131">
            <v>101704.03</v>
          </cell>
          <cell r="K131">
            <v>325330</v>
          </cell>
        </row>
        <row r="132">
          <cell r="B132" t="str">
            <v>170-100-810</v>
          </cell>
          <cell r="C132" t="str">
            <v>Asset</v>
          </cell>
          <cell r="D132" t="str">
            <v>WW/Drainage Costs Accum Amortization</v>
          </cell>
          <cell r="E132" t="str">
            <v>2022</v>
          </cell>
          <cell r="F132">
            <v>0</v>
          </cell>
          <cell r="G132">
            <v>0</v>
          </cell>
          <cell r="H132">
            <v>-91847.83</v>
          </cell>
          <cell r="I132">
            <v>44926</v>
          </cell>
          <cell r="J132">
            <v>-89336.82</v>
          </cell>
          <cell r="K132">
            <v>49178.44</v>
          </cell>
        </row>
        <row r="133">
          <cell r="B133" t="str">
            <v>170-100-900</v>
          </cell>
          <cell r="C133" t="str">
            <v>Asset</v>
          </cell>
          <cell r="D133" t="str">
            <v>Computer Equipment/Software</v>
          </cell>
          <cell r="E133" t="str">
            <v>2022</v>
          </cell>
          <cell r="F133">
            <v>0</v>
          </cell>
          <cell r="G133">
            <v>0</v>
          </cell>
          <cell r="H133">
            <v>22469.06</v>
          </cell>
          <cell r="I133">
            <v>44926</v>
          </cell>
          <cell r="J133">
            <v>8045.16</v>
          </cell>
          <cell r="K133">
            <v>48311.62</v>
          </cell>
        </row>
        <row r="134">
          <cell r="B134" t="str">
            <v>170-100-910</v>
          </cell>
          <cell r="C134" t="str">
            <v>Asset</v>
          </cell>
          <cell r="D134" t="str">
            <v>Computer Equipment/Software Amortization</v>
          </cell>
          <cell r="E134" t="str">
            <v>2022</v>
          </cell>
          <cell r="F134">
            <v>0</v>
          </cell>
          <cell r="G134">
            <v>0</v>
          </cell>
          <cell r="H134">
            <v>0</v>
          </cell>
          <cell r="I134">
            <v>44926</v>
          </cell>
          <cell r="J134">
            <v>0</v>
          </cell>
          <cell r="K134">
            <v>0</v>
          </cell>
        </row>
        <row r="135">
          <cell r="B135" t="str">
            <v>170-100-920</v>
          </cell>
          <cell r="C135" t="str">
            <v>Asset</v>
          </cell>
          <cell r="D135" t="str">
            <v>Furniture</v>
          </cell>
          <cell r="E135" t="str">
            <v>2022</v>
          </cell>
          <cell r="F135">
            <v>0</v>
          </cell>
          <cell r="G135">
            <v>0</v>
          </cell>
          <cell r="H135">
            <v>0</v>
          </cell>
          <cell r="I135">
            <v>44926</v>
          </cell>
          <cell r="J135">
            <v>54142.400000000001</v>
          </cell>
          <cell r="K135">
            <v>0</v>
          </cell>
        </row>
        <row r="136">
          <cell r="B136" t="str">
            <v>170-100-930</v>
          </cell>
          <cell r="C136" t="str">
            <v>Asset</v>
          </cell>
          <cell r="D136" t="str">
            <v>Furniture Accumulated Amortization</v>
          </cell>
          <cell r="E136" t="str">
            <v>2022</v>
          </cell>
          <cell r="F136">
            <v>0</v>
          </cell>
          <cell r="G136">
            <v>0</v>
          </cell>
          <cell r="H136">
            <v>-5861.62</v>
          </cell>
          <cell r="I136">
            <v>44926</v>
          </cell>
          <cell r="J136">
            <v>-1549.1</v>
          </cell>
          <cell r="K136">
            <v>0</v>
          </cell>
        </row>
        <row r="137">
          <cell r="B137" t="str">
            <v>170-100-950</v>
          </cell>
          <cell r="C137" t="str">
            <v>Asset</v>
          </cell>
          <cell r="D137" t="str">
            <v>Asset under construction</v>
          </cell>
          <cell r="E137" t="str">
            <v>2022</v>
          </cell>
          <cell r="F137">
            <v>0</v>
          </cell>
          <cell r="G137">
            <v>0</v>
          </cell>
          <cell r="H137">
            <v>23496.83</v>
          </cell>
          <cell r="I137">
            <v>44926</v>
          </cell>
          <cell r="J137">
            <v>48878.19</v>
          </cell>
        </row>
        <row r="138">
          <cell r="B138" t="str">
            <v>190-900-050</v>
          </cell>
          <cell r="C138" t="str">
            <v>Asset</v>
          </cell>
          <cell r="D138" t="str">
            <v>FUND DEFICIT</v>
          </cell>
          <cell r="E138" t="str">
            <v>2022</v>
          </cell>
          <cell r="F138">
            <v>0</v>
          </cell>
          <cell r="G138">
            <v>0</v>
          </cell>
          <cell r="H138">
            <v>0</v>
          </cell>
          <cell r="I138">
            <v>44926</v>
          </cell>
          <cell r="J138">
            <v>0</v>
          </cell>
          <cell r="K138">
            <v>0</v>
          </cell>
        </row>
        <row r="139">
          <cell r="B139" t="str">
            <v>190-900-100</v>
          </cell>
          <cell r="C139" t="str">
            <v>Asset</v>
          </cell>
          <cell r="D139" t="str">
            <v>Capital Trust Fund - Bank</v>
          </cell>
          <cell r="E139" t="str">
            <v>2022</v>
          </cell>
          <cell r="F139">
            <v>0</v>
          </cell>
          <cell r="G139">
            <v>0</v>
          </cell>
          <cell r="H139">
            <v>0</v>
          </cell>
          <cell r="I139">
            <v>44926</v>
          </cell>
          <cell r="J139">
            <v>0</v>
          </cell>
          <cell r="K139">
            <v>0</v>
          </cell>
        </row>
        <row r="140">
          <cell r="B140" t="str">
            <v>190-900-200</v>
          </cell>
          <cell r="C140" t="str">
            <v>Asset</v>
          </cell>
          <cell r="D140" t="str">
            <v>Installments Due Capital</v>
          </cell>
          <cell r="E140" t="str">
            <v>2022</v>
          </cell>
          <cell r="F140">
            <v>0</v>
          </cell>
          <cell r="G140">
            <v>0</v>
          </cell>
          <cell r="H140">
            <v>0</v>
          </cell>
          <cell r="I140">
            <v>44926</v>
          </cell>
          <cell r="J140">
            <v>0</v>
          </cell>
          <cell r="K140">
            <v>0</v>
          </cell>
        </row>
        <row r="141">
          <cell r="B141" t="str">
            <v>190-900-300</v>
          </cell>
          <cell r="C141" t="str">
            <v>Asset</v>
          </cell>
          <cell r="D141" t="str">
            <v>Installment Not Due Capital</v>
          </cell>
          <cell r="E141" t="str">
            <v>2022</v>
          </cell>
          <cell r="F141">
            <v>0</v>
          </cell>
          <cell r="G141">
            <v>0</v>
          </cell>
          <cell r="H141">
            <v>0</v>
          </cell>
          <cell r="I141">
            <v>44926</v>
          </cell>
          <cell r="J141">
            <v>0</v>
          </cell>
          <cell r="K141">
            <v>0</v>
          </cell>
        </row>
        <row r="142">
          <cell r="B142" t="str">
            <v>190-900-400</v>
          </cell>
          <cell r="C142" t="str">
            <v>Asset</v>
          </cell>
          <cell r="D142" t="str">
            <v>Operating Fund</v>
          </cell>
          <cell r="E142" t="str">
            <v>2022</v>
          </cell>
          <cell r="F142">
            <v>0</v>
          </cell>
          <cell r="G142">
            <v>0</v>
          </cell>
          <cell r="H142">
            <v>0</v>
          </cell>
          <cell r="I142">
            <v>44926</v>
          </cell>
          <cell r="J142">
            <v>0</v>
          </cell>
          <cell r="K142">
            <v>0</v>
          </cell>
        </row>
        <row r="143">
          <cell r="B143" t="str">
            <v>190-900-500</v>
          </cell>
          <cell r="C143" t="str">
            <v>Asset</v>
          </cell>
          <cell r="D143" t="str">
            <v>Trust Fund</v>
          </cell>
          <cell r="E143" t="str">
            <v>2022</v>
          </cell>
          <cell r="F143">
            <v>0</v>
          </cell>
          <cell r="G143">
            <v>0</v>
          </cell>
          <cell r="H143">
            <v>0</v>
          </cell>
          <cell r="I143">
            <v>44926</v>
          </cell>
          <cell r="J143">
            <v>0</v>
          </cell>
          <cell r="K143">
            <v>0</v>
          </cell>
        </row>
        <row r="144">
          <cell r="B144" t="str">
            <v>190-900-600</v>
          </cell>
          <cell r="C144" t="str">
            <v>Asset</v>
          </cell>
          <cell r="D144" t="str">
            <v>Cemetery Fund Reserve</v>
          </cell>
          <cell r="E144" t="str">
            <v>2022</v>
          </cell>
          <cell r="F144">
            <v>0</v>
          </cell>
          <cell r="G144">
            <v>0</v>
          </cell>
          <cell r="H144">
            <v>0</v>
          </cell>
          <cell r="I144">
            <v>44926</v>
          </cell>
          <cell r="J144">
            <v>0</v>
          </cell>
          <cell r="K144">
            <v>0</v>
          </cell>
        </row>
        <row r="145">
          <cell r="B145" t="str">
            <v>200-100-050</v>
          </cell>
          <cell r="C145" t="str">
            <v>Liability</v>
          </cell>
          <cell r="D145" t="str">
            <v>LIABILITIES</v>
          </cell>
          <cell r="E145" t="str">
            <v>2022</v>
          </cell>
          <cell r="F145">
            <v>0</v>
          </cell>
          <cell r="G145">
            <v>0</v>
          </cell>
          <cell r="H145">
            <v>0</v>
          </cell>
          <cell r="I145">
            <v>44926</v>
          </cell>
          <cell r="J145">
            <v>0</v>
          </cell>
          <cell r="K145">
            <v>0</v>
          </cell>
        </row>
        <row r="146">
          <cell r="B146" t="str">
            <v>210-100-100</v>
          </cell>
          <cell r="C146" t="str">
            <v>Liability</v>
          </cell>
          <cell r="D146" t="str">
            <v>Bank Indebtedness</v>
          </cell>
          <cell r="E146" t="str">
            <v>2022</v>
          </cell>
          <cell r="F146">
            <v>0</v>
          </cell>
          <cell r="G146">
            <v>0</v>
          </cell>
          <cell r="H146">
            <v>0</v>
          </cell>
          <cell r="I146">
            <v>44926</v>
          </cell>
          <cell r="J146">
            <v>0</v>
          </cell>
          <cell r="K146">
            <v>0</v>
          </cell>
        </row>
        <row r="147">
          <cell r="B147" t="str">
            <v>210-110-050</v>
          </cell>
          <cell r="C147" t="str">
            <v>Liability</v>
          </cell>
          <cell r="D147" t="str">
            <v>TEMPORARY LOANS PAYABLE</v>
          </cell>
          <cell r="E147" t="str">
            <v>2022</v>
          </cell>
          <cell r="F147">
            <v>0</v>
          </cell>
          <cell r="G147">
            <v>0</v>
          </cell>
          <cell r="H147">
            <v>0</v>
          </cell>
          <cell r="I147">
            <v>44926</v>
          </cell>
          <cell r="J147">
            <v>0</v>
          </cell>
          <cell r="K147">
            <v>0</v>
          </cell>
        </row>
        <row r="148">
          <cell r="B148" t="str">
            <v>210-110-100</v>
          </cell>
          <cell r="C148" t="str">
            <v>Liability</v>
          </cell>
          <cell r="D148" t="str">
            <v>Other Temporary Loan Payable #2</v>
          </cell>
          <cell r="E148" t="str">
            <v>2022</v>
          </cell>
          <cell r="F148">
            <v>0</v>
          </cell>
          <cell r="G148">
            <v>0</v>
          </cell>
          <cell r="H148">
            <v>0</v>
          </cell>
          <cell r="I148">
            <v>44926</v>
          </cell>
          <cell r="J148">
            <v>0</v>
          </cell>
          <cell r="K148">
            <v>0</v>
          </cell>
        </row>
        <row r="149">
          <cell r="B149" t="str">
            <v>210-110-110</v>
          </cell>
          <cell r="C149" t="str">
            <v>Liability</v>
          </cell>
          <cell r="D149" t="str">
            <v>Other Temporary Loan Payable #3</v>
          </cell>
          <cell r="E149" t="str">
            <v>2022</v>
          </cell>
          <cell r="F149">
            <v>0</v>
          </cell>
          <cell r="G149">
            <v>0</v>
          </cell>
          <cell r="H149">
            <v>0</v>
          </cell>
          <cell r="I149">
            <v>44926</v>
          </cell>
          <cell r="J149">
            <v>0</v>
          </cell>
          <cell r="K149">
            <v>0</v>
          </cell>
        </row>
        <row r="150">
          <cell r="B150" t="str">
            <v>210-200-050</v>
          </cell>
          <cell r="C150" t="str">
            <v>Liability</v>
          </cell>
          <cell r="D150" t="str">
            <v>ACCOUNTS PAYABLE</v>
          </cell>
          <cell r="E150" t="str">
            <v>2022</v>
          </cell>
          <cell r="F150">
            <v>0</v>
          </cell>
          <cell r="G150">
            <v>0</v>
          </cell>
          <cell r="H150">
            <v>0</v>
          </cell>
          <cell r="I150">
            <v>44926</v>
          </cell>
          <cell r="J150">
            <v>0</v>
          </cell>
          <cell r="K150">
            <v>0</v>
          </cell>
        </row>
        <row r="151">
          <cell r="B151" t="str">
            <v>210-200-100</v>
          </cell>
          <cell r="C151" t="str">
            <v>Liability</v>
          </cell>
          <cell r="D151" t="str">
            <v>WCB Payable</v>
          </cell>
          <cell r="E151" t="str">
            <v>2022</v>
          </cell>
          <cell r="F151">
            <v>0</v>
          </cell>
          <cell r="G151">
            <v>0</v>
          </cell>
          <cell r="H151">
            <v>0</v>
          </cell>
          <cell r="I151">
            <v>44926</v>
          </cell>
          <cell r="J151">
            <v>0</v>
          </cell>
          <cell r="K151">
            <v>0</v>
          </cell>
        </row>
        <row r="152">
          <cell r="B152" t="str">
            <v>210-200-110</v>
          </cell>
          <cell r="C152" t="str">
            <v>Liability</v>
          </cell>
          <cell r="D152" t="str">
            <v>C.P.P. Payable</v>
          </cell>
          <cell r="E152" t="str">
            <v>2022</v>
          </cell>
          <cell r="F152">
            <v>0</v>
          </cell>
          <cell r="G152">
            <v>0</v>
          </cell>
          <cell r="H152">
            <v>0</v>
          </cell>
          <cell r="I152">
            <v>44926</v>
          </cell>
          <cell r="J152">
            <v>0</v>
          </cell>
          <cell r="K152">
            <v>0</v>
          </cell>
        </row>
        <row r="153">
          <cell r="B153" t="str">
            <v>210-200-120</v>
          </cell>
          <cell r="C153" t="str">
            <v>Liability</v>
          </cell>
          <cell r="D153" t="str">
            <v>E.I. Payable</v>
          </cell>
          <cell r="E153" t="str">
            <v>2022</v>
          </cell>
          <cell r="F153">
            <v>0</v>
          </cell>
          <cell r="G153">
            <v>0</v>
          </cell>
          <cell r="H153">
            <v>0</v>
          </cell>
          <cell r="I153">
            <v>44926</v>
          </cell>
          <cell r="J153">
            <v>0</v>
          </cell>
          <cell r="K153">
            <v>0</v>
          </cell>
        </row>
        <row r="154">
          <cell r="B154" t="str">
            <v>210-200-130</v>
          </cell>
          <cell r="C154" t="str">
            <v>Liability</v>
          </cell>
          <cell r="D154" t="str">
            <v>Income Tax Payable</v>
          </cell>
          <cell r="E154" t="str">
            <v>2022</v>
          </cell>
          <cell r="F154">
            <v>0</v>
          </cell>
          <cell r="G154">
            <v>0</v>
          </cell>
          <cell r="H154">
            <v>0</v>
          </cell>
          <cell r="I154">
            <v>44926</v>
          </cell>
          <cell r="J154">
            <v>0</v>
          </cell>
          <cell r="K154">
            <v>0</v>
          </cell>
        </row>
        <row r="155">
          <cell r="B155" t="str">
            <v>210-200-140</v>
          </cell>
          <cell r="C155" t="str">
            <v>Liability</v>
          </cell>
          <cell r="D155" t="str">
            <v xml:space="preserve">Municipal Pension Payable               </v>
          </cell>
          <cell r="E155" t="str">
            <v>2022</v>
          </cell>
          <cell r="F155">
            <v>0</v>
          </cell>
          <cell r="G155">
            <v>0</v>
          </cell>
          <cell r="H155">
            <v>0</v>
          </cell>
          <cell r="I155">
            <v>44926</v>
          </cell>
          <cell r="J155">
            <v>0</v>
          </cell>
          <cell r="K155">
            <v>0</v>
          </cell>
        </row>
        <row r="156">
          <cell r="B156" t="str">
            <v>210-200-150</v>
          </cell>
          <cell r="C156" t="str">
            <v>Liability</v>
          </cell>
          <cell r="D156" t="str">
            <v>Sick Payable</v>
          </cell>
          <cell r="E156" t="str">
            <v>2022</v>
          </cell>
          <cell r="F156">
            <v>0</v>
          </cell>
          <cell r="G156">
            <v>0</v>
          </cell>
          <cell r="H156">
            <v>0</v>
          </cell>
          <cell r="I156">
            <v>44926</v>
          </cell>
        </row>
        <row r="157">
          <cell r="B157" t="str">
            <v>210-200-160</v>
          </cell>
          <cell r="C157" t="str">
            <v>Liability</v>
          </cell>
          <cell r="D157" t="str">
            <v xml:space="preserve">Group Benefits Payable                  </v>
          </cell>
          <cell r="E157" t="str">
            <v>2022</v>
          </cell>
          <cell r="F157">
            <v>-970.32</v>
          </cell>
          <cell r="G157">
            <v>-970.32</v>
          </cell>
          <cell r="H157">
            <v>0</v>
          </cell>
          <cell r="I157">
            <v>44926</v>
          </cell>
          <cell r="J157">
            <v>0</v>
          </cell>
          <cell r="K157">
            <v>0</v>
          </cell>
        </row>
        <row r="158">
          <cell r="B158" t="str">
            <v>210-200-170</v>
          </cell>
          <cell r="C158" t="str">
            <v>Liability</v>
          </cell>
          <cell r="D158" t="str">
            <v>Vacation Payable</v>
          </cell>
          <cell r="E158" t="str">
            <v>2022</v>
          </cell>
          <cell r="F158">
            <v>0</v>
          </cell>
          <cell r="G158">
            <v>0</v>
          </cell>
          <cell r="H158">
            <v>1215.43</v>
          </cell>
          <cell r="I158">
            <v>44926</v>
          </cell>
          <cell r="J158">
            <v>6462.17</v>
          </cell>
          <cell r="K158">
            <v>9017.11</v>
          </cell>
        </row>
        <row r="159">
          <cell r="B159" t="str">
            <v>210-200-180</v>
          </cell>
          <cell r="C159" t="str">
            <v>Liability</v>
          </cell>
          <cell r="D159" t="str">
            <v>Overtime Payable</v>
          </cell>
          <cell r="E159" t="str">
            <v>2022</v>
          </cell>
          <cell r="F159">
            <v>0</v>
          </cell>
          <cell r="G159">
            <v>0</v>
          </cell>
          <cell r="H159">
            <v>454.35</v>
          </cell>
          <cell r="I159">
            <v>44926</v>
          </cell>
          <cell r="J159">
            <v>-632.54</v>
          </cell>
          <cell r="K159">
            <v>5905.32</v>
          </cell>
        </row>
        <row r="160">
          <cell r="B160" t="str">
            <v>210-200-190</v>
          </cell>
          <cell r="C160" t="str">
            <v>Liability</v>
          </cell>
          <cell r="D160" t="str">
            <v>Other - Wage Payable</v>
          </cell>
          <cell r="E160" t="str">
            <v>2022</v>
          </cell>
          <cell r="F160">
            <v>0</v>
          </cell>
          <cell r="G160">
            <v>0</v>
          </cell>
          <cell r="H160">
            <v>0</v>
          </cell>
          <cell r="I160">
            <v>44926</v>
          </cell>
          <cell r="J160">
            <v>0</v>
          </cell>
          <cell r="K160">
            <v>0</v>
          </cell>
        </row>
        <row r="161">
          <cell r="B161" t="str">
            <v>210-200-200</v>
          </cell>
          <cell r="C161" t="str">
            <v>Liability</v>
          </cell>
          <cell r="D161" t="str">
            <v>Due To Federal Government/Agency</v>
          </cell>
          <cell r="E161" t="str">
            <v>2022</v>
          </cell>
          <cell r="F161">
            <v>0</v>
          </cell>
          <cell r="G161">
            <v>0</v>
          </cell>
          <cell r="H161">
            <v>0</v>
          </cell>
          <cell r="I161">
            <v>44926</v>
          </cell>
          <cell r="J161">
            <v>0</v>
          </cell>
          <cell r="K161">
            <v>0</v>
          </cell>
        </row>
        <row r="162">
          <cell r="B162" t="str">
            <v>210-200-210</v>
          </cell>
          <cell r="C162" t="str">
            <v>Liability</v>
          </cell>
          <cell r="D162" t="str">
            <v>Due To Provincial Government/Agency</v>
          </cell>
          <cell r="E162" t="str">
            <v>2022</v>
          </cell>
          <cell r="F162">
            <v>0</v>
          </cell>
          <cell r="G162">
            <v>0</v>
          </cell>
          <cell r="H162">
            <v>0</v>
          </cell>
          <cell r="I162">
            <v>44926</v>
          </cell>
          <cell r="J162">
            <v>0</v>
          </cell>
          <cell r="K162">
            <v>0</v>
          </cell>
        </row>
        <row r="163">
          <cell r="B163" t="str">
            <v>210-200-220</v>
          </cell>
          <cell r="C163" t="str">
            <v>Liability</v>
          </cell>
          <cell r="D163" t="str">
            <v>Due To Local Government</v>
          </cell>
          <cell r="E163" t="str">
            <v>2022</v>
          </cell>
          <cell r="F163">
            <v>0</v>
          </cell>
          <cell r="G163">
            <v>0</v>
          </cell>
          <cell r="H163">
            <v>0</v>
          </cell>
          <cell r="I163">
            <v>44926</v>
          </cell>
          <cell r="J163">
            <v>0</v>
          </cell>
          <cell r="K163">
            <v>0</v>
          </cell>
        </row>
        <row r="164">
          <cell r="B164" t="str">
            <v>210-200-300</v>
          </cell>
          <cell r="C164" t="str">
            <v>Liability</v>
          </cell>
          <cell r="D164" t="str">
            <v>General Accounts Payable</v>
          </cell>
          <cell r="E164" t="str">
            <v>2022</v>
          </cell>
          <cell r="F164">
            <v>-1225.06</v>
          </cell>
          <cell r="G164">
            <v>-1225.06</v>
          </cell>
          <cell r="H164">
            <v>-711.8</v>
          </cell>
          <cell r="I164">
            <v>44926</v>
          </cell>
          <cell r="J164">
            <v>-38584.120000000003</v>
          </cell>
          <cell r="K164">
            <v>-14995.2</v>
          </cell>
        </row>
        <row r="165">
          <cell r="B165" t="str">
            <v>210-200-400</v>
          </cell>
          <cell r="C165" t="str">
            <v>Liability</v>
          </cell>
          <cell r="D165" t="str">
            <v>Credit Card Payable</v>
          </cell>
          <cell r="E165" t="str">
            <v>2022</v>
          </cell>
          <cell r="F165">
            <v>258.54000000000002</v>
          </cell>
          <cell r="G165">
            <v>258.54000000000002</v>
          </cell>
          <cell r="H165">
            <v>0</v>
          </cell>
          <cell r="I165">
            <v>44926</v>
          </cell>
          <cell r="J165">
            <v>-1.02</v>
          </cell>
          <cell r="K165">
            <v>1.02</v>
          </cell>
        </row>
        <row r="166">
          <cell r="B166" t="str">
            <v>210-200-410</v>
          </cell>
          <cell r="C166" t="str">
            <v>Liability</v>
          </cell>
          <cell r="D166" t="str">
            <v>Other Accounts Payable #2</v>
          </cell>
          <cell r="E166" t="str">
            <v>2022</v>
          </cell>
          <cell r="F166">
            <v>0</v>
          </cell>
          <cell r="G166">
            <v>0</v>
          </cell>
          <cell r="H166">
            <v>0</v>
          </cell>
          <cell r="I166">
            <v>44926</v>
          </cell>
          <cell r="J166">
            <v>0</v>
          </cell>
          <cell r="K166">
            <v>0</v>
          </cell>
        </row>
        <row r="167">
          <cell r="B167" t="str">
            <v>210-200-500</v>
          </cell>
          <cell r="C167" t="str">
            <v>Liability</v>
          </cell>
          <cell r="D167" t="str">
            <v>GST Payable</v>
          </cell>
          <cell r="E167" t="str">
            <v>2022</v>
          </cell>
          <cell r="F167">
            <v>9166.1</v>
          </cell>
          <cell r="G167">
            <v>9166.1</v>
          </cell>
          <cell r="H167">
            <v>-0.02</v>
          </cell>
          <cell r="I167">
            <v>44926</v>
          </cell>
          <cell r="J167">
            <v>0.02</v>
          </cell>
          <cell r="K167">
            <v>2708.25</v>
          </cell>
        </row>
        <row r="168">
          <cell r="B168" t="str">
            <v>210-200-510</v>
          </cell>
          <cell r="C168" t="str">
            <v>Liability</v>
          </cell>
          <cell r="D168" t="str">
            <v>GST Collections - DNU</v>
          </cell>
          <cell r="E168" t="str">
            <v>2022</v>
          </cell>
          <cell r="F168">
            <v>0</v>
          </cell>
          <cell r="G168">
            <v>0</v>
          </cell>
          <cell r="H168">
            <v>0</v>
          </cell>
          <cell r="I168">
            <v>44926</v>
          </cell>
          <cell r="J168">
            <v>0</v>
          </cell>
          <cell r="K168">
            <v>0</v>
          </cell>
        </row>
        <row r="169">
          <cell r="B169" t="str">
            <v>210-200-600</v>
          </cell>
          <cell r="C169" t="str">
            <v>Liability</v>
          </cell>
          <cell r="D169" t="str">
            <v xml:space="preserve">PST Payable                             </v>
          </cell>
          <cell r="E169" t="str">
            <v>2022</v>
          </cell>
          <cell r="F169">
            <v>352.23</v>
          </cell>
          <cell r="G169">
            <v>352.23</v>
          </cell>
          <cell r="H169">
            <v>0</v>
          </cell>
          <cell r="I169">
            <v>44926</v>
          </cell>
          <cell r="J169">
            <v>0</v>
          </cell>
          <cell r="K169">
            <v>0</v>
          </cell>
        </row>
        <row r="170">
          <cell r="B170" t="str">
            <v>210-200-610</v>
          </cell>
          <cell r="C170" t="str">
            <v>Liability</v>
          </cell>
          <cell r="D170" t="str">
            <v>PST Due</v>
          </cell>
          <cell r="E170" t="str">
            <v>2022</v>
          </cell>
          <cell r="F170">
            <v>0</v>
          </cell>
          <cell r="G170">
            <v>0</v>
          </cell>
          <cell r="H170">
            <v>0</v>
          </cell>
          <cell r="I170">
            <v>44926</v>
          </cell>
          <cell r="J170">
            <v>0</v>
          </cell>
          <cell r="K170">
            <v>0</v>
          </cell>
        </row>
        <row r="171">
          <cell r="B171" t="str">
            <v>210-200-620</v>
          </cell>
          <cell r="C171" t="str">
            <v>Liability</v>
          </cell>
          <cell r="D171" t="str">
            <v>LCT Payable</v>
          </cell>
          <cell r="E171" t="str">
            <v>2022</v>
          </cell>
          <cell r="F171">
            <v>3539.75</v>
          </cell>
          <cell r="G171">
            <v>3539.75</v>
          </cell>
          <cell r="H171">
            <v>0</v>
          </cell>
          <cell r="I171">
            <v>44926</v>
          </cell>
          <cell r="J171">
            <v>0</v>
          </cell>
          <cell r="K171">
            <v>0</v>
          </cell>
        </row>
        <row r="172">
          <cell r="B172" t="str">
            <v>210-210-050</v>
          </cell>
          <cell r="C172" t="str">
            <v>Liability</v>
          </cell>
          <cell r="D172" t="str">
            <v>TOTAL COLLECTION LIABILITY</v>
          </cell>
          <cell r="E172" t="str">
            <v>2022</v>
          </cell>
          <cell r="F172">
            <v>0</v>
          </cell>
          <cell r="G172">
            <v>0</v>
          </cell>
          <cell r="H172">
            <v>0</v>
          </cell>
          <cell r="I172">
            <v>44926</v>
          </cell>
          <cell r="J172">
            <v>0</v>
          </cell>
          <cell r="K172">
            <v>0</v>
          </cell>
        </row>
        <row r="173">
          <cell r="B173" t="str">
            <v>210-210-110</v>
          </cell>
          <cell r="C173" t="str">
            <v>Liability</v>
          </cell>
          <cell r="D173" t="str">
            <v>Sask Rivers Payable - Collected</v>
          </cell>
          <cell r="E173" t="str">
            <v>2022</v>
          </cell>
          <cell r="F173">
            <v>473297.22</v>
          </cell>
          <cell r="G173">
            <v>473297.22</v>
          </cell>
          <cell r="H173">
            <v>563464.78</v>
          </cell>
          <cell r="I173">
            <v>44926</v>
          </cell>
          <cell r="J173">
            <v>529694.96</v>
          </cell>
          <cell r="K173">
            <v>-68466.37</v>
          </cell>
        </row>
        <row r="174">
          <cell r="B174" t="str">
            <v>210-210-190</v>
          </cell>
          <cell r="C174" t="str">
            <v>Liability</v>
          </cell>
          <cell r="D174" t="str">
            <v>Sask Rivers - Remittances</v>
          </cell>
          <cell r="E174" t="str">
            <v>2022</v>
          </cell>
          <cell r="F174">
            <v>-458507.54</v>
          </cell>
          <cell r="G174">
            <v>-458507.54</v>
          </cell>
          <cell r="H174">
            <v>-571127.71</v>
          </cell>
          <cell r="I174">
            <v>44926</v>
          </cell>
          <cell r="J174">
            <v>-508769.45</v>
          </cell>
          <cell r="K174">
            <v>0</v>
          </cell>
        </row>
        <row r="175">
          <cell r="B175" t="str">
            <v>210-210-300</v>
          </cell>
          <cell r="C175" t="str">
            <v>Liability</v>
          </cell>
          <cell r="D175" t="str">
            <v xml:space="preserve">BID - Collected                         </v>
          </cell>
          <cell r="E175" t="str">
            <v>2022</v>
          </cell>
          <cell r="F175">
            <v>300</v>
          </cell>
          <cell r="G175">
            <v>300</v>
          </cell>
          <cell r="H175">
            <v>-300</v>
          </cell>
          <cell r="I175">
            <v>44926</v>
          </cell>
          <cell r="J175">
            <v>0</v>
          </cell>
          <cell r="K175">
            <v>0</v>
          </cell>
        </row>
        <row r="176">
          <cell r="B176" t="str">
            <v>210-220-110</v>
          </cell>
          <cell r="C176" t="str">
            <v>Liability</v>
          </cell>
          <cell r="D176" t="str">
            <v>Hospital - Collected - Current</v>
          </cell>
          <cell r="E176" t="str">
            <v>2022</v>
          </cell>
          <cell r="F176">
            <v>0</v>
          </cell>
          <cell r="G176">
            <v>0</v>
          </cell>
          <cell r="H176">
            <v>0</v>
          </cell>
          <cell r="I176">
            <v>44926</v>
          </cell>
          <cell r="J176">
            <v>0</v>
          </cell>
          <cell r="K176">
            <v>0</v>
          </cell>
        </row>
        <row r="177">
          <cell r="B177" t="str">
            <v>210-220-120</v>
          </cell>
          <cell r="C177" t="str">
            <v>Liability</v>
          </cell>
          <cell r="D177" t="str">
            <v>Hospital - Collected - Arrears</v>
          </cell>
          <cell r="E177" t="str">
            <v>2022</v>
          </cell>
          <cell r="F177">
            <v>0</v>
          </cell>
          <cell r="G177">
            <v>0</v>
          </cell>
          <cell r="H177">
            <v>0</v>
          </cell>
          <cell r="I177">
            <v>44926</v>
          </cell>
          <cell r="J177">
            <v>0</v>
          </cell>
          <cell r="K177">
            <v>0</v>
          </cell>
        </row>
        <row r="178">
          <cell r="B178" t="str">
            <v>210-220-130</v>
          </cell>
          <cell r="C178" t="str">
            <v>Liability</v>
          </cell>
          <cell r="D178" t="str">
            <v>Hospital - Collected - Discount</v>
          </cell>
          <cell r="E178" t="str">
            <v>2022</v>
          </cell>
          <cell r="F178">
            <v>0</v>
          </cell>
          <cell r="G178">
            <v>0</v>
          </cell>
          <cell r="H178">
            <v>0</v>
          </cell>
          <cell r="I178">
            <v>44926</v>
          </cell>
          <cell r="J178">
            <v>0</v>
          </cell>
          <cell r="K178">
            <v>0</v>
          </cell>
        </row>
        <row r="179">
          <cell r="B179" t="str">
            <v>210-225-100</v>
          </cell>
          <cell r="C179" t="str">
            <v>Liability</v>
          </cell>
          <cell r="D179" t="str">
            <v>BID - Collection Liability</v>
          </cell>
          <cell r="E179" t="str">
            <v>2022</v>
          </cell>
          <cell r="F179">
            <v>0</v>
          </cell>
          <cell r="G179">
            <v>0</v>
          </cell>
          <cell r="H179">
            <v>-300</v>
          </cell>
          <cell r="I179">
            <v>44926</v>
          </cell>
          <cell r="J179">
            <v>300</v>
          </cell>
          <cell r="K179">
            <v>0</v>
          </cell>
        </row>
        <row r="180">
          <cell r="B180" t="str">
            <v>210-250-050</v>
          </cell>
          <cell r="C180" t="str">
            <v>Liability</v>
          </cell>
          <cell r="D180" t="str">
            <v>TAX LIABILITIES</v>
          </cell>
          <cell r="E180" t="str">
            <v>2022</v>
          </cell>
          <cell r="F180">
            <v>0</v>
          </cell>
          <cell r="G180">
            <v>0</v>
          </cell>
          <cell r="H180">
            <v>0</v>
          </cell>
          <cell r="I180">
            <v>44926</v>
          </cell>
          <cell r="J180">
            <v>0</v>
          </cell>
          <cell r="K180">
            <v>0</v>
          </cell>
        </row>
        <row r="181">
          <cell r="B181" t="str">
            <v>210-250-100</v>
          </cell>
          <cell r="C181" t="str">
            <v>Liability</v>
          </cell>
          <cell r="D181" t="str">
            <v>Sask Rivers - Tax Liability Payable</v>
          </cell>
          <cell r="E181" t="str">
            <v>2022</v>
          </cell>
          <cell r="F181">
            <v>116720.91</v>
          </cell>
          <cell r="G181">
            <v>116720.91</v>
          </cell>
          <cell r="H181">
            <v>-7020</v>
          </cell>
          <cell r="I181">
            <v>44926</v>
          </cell>
          <cell r="J181">
            <v>-11759.37</v>
          </cell>
          <cell r="K181">
            <v>-6410.33</v>
          </cell>
        </row>
        <row r="182">
          <cell r="B182" t="str">
            <v>210-250-110</v>
          </cell>
          <cell r="C182" t="str">
            <v>Liability</v>
          </cell>
          <cell r="D182" t="str">
            <v>Sask Rivers Collected</v>
          </cell>
          <cell r="E182" t="str">
            <v>2022</v>
          </cell>
          <cell r="F182">
            <v>0</v>
          </cell>
          <cell r="G182">
            <v>0</v>
          </cell>
          <cell r="H182">
            <v>0</v>
          </cell>
          <cell r="I182">
            <v>44926</v>
          </cell>
          <cell r="J182">
            <v>0</v>
          </cell>
          <cell r="K182">
            <v>0</v>
          </cell>
        </row>
        <row r="183">
          <cell r="B183" t="str">
            <v>210-250-120</v>
          </cell>
          <cell r="C183" t="str">
            <v>Liability</v>
          </cell>
          <cell r="D183" t="str">
            <v>School #3 - Tax Liability</v>
          </cell>
          <cell r="E183" t="str">
            <v>2022</v>
          </cell>
          <cell r="F183">
            <v>0</v>
          </cell>
          <cell r="G183">
            <v>0</v>
          </cell>
          <cell r="H183">
            <v>0</v>
          </cell>
          <cell r="I183">
            <v>44926</v>
          </cell>
          <cell r="J183">
            <v>0</v>
          </cell>
          <cell r="K183">
            <v>0</v>
          </cell>
        </row>
        <row r="184">
          <cell r="B184" t="str">
            <v>210-250-300</v>
          </cell>
          <cell r="C184" t="str">
            <v>Liability</v>
          </cell>
          <cell r="D184" t="str">
            <v>C &amp; D #1 - Tax Liability</v>
          </cell>
          <cell r="E184" t="str">
            <v>2022</v>
          </cell>
          <cell r="F184">
            <v>0</v>
          </cell>
          <cell r="G184">
            <v>0</v>
          </cell>
          <cell r="H184">
            <v>0</v>
          </cell>
          <cell r="I184">
            <v>44926</v>
          </cell>
          <cell r="J184">
            <v>0</v>
          </cell>
          <cell r="K184">
            <v>0</v>
          </cell>
        </row>
        <row r="185">
          <cell r="B185" t="str">
            <v>210-250-310</v>
          </cell>
          <cell r="C185" t="str">
            <v>Liability</v>
          </cell>
          <cell r="D185" t="str">
            <v>C &amp; D #2 - Tax Liability</v>
          </cell>
          <cell r="E185" t="str">
            <v>2022</v>
          </cell>
          <cell r="F185">
            <v>0</v>
          </cell>
          <cell r="G185">
            <v>0</v>
          </cell>
          <cell r="H185">
            <v>0</v>
          </cell>
          <cell r="I185">
            <v>44926</v>
          </cell>
          <cell r="J185">
            <v>0</v>
          </cell>
          <cell r="K185">
            <v>0</v>
          </cell>
        </row>
        <row r="186">
          <cell r="B186" t="str">
            <v>210-250-320</v>
          </cell>
          <cell r="C186" t="str">
            <v>Liability</v>
          </cell>
          <cell r="D186" t="str">
            <v>C &amp; D #3 - Tax Liability</v>
          </cell>
          <cell r="E186" t="str">
            <v>2022</v>
          </cell>
          <cell r="F186">
            <v>0</v>
          </cell>
          <cell r="G186">
            <v>0</v>
          </cell>
          <cell r="H186">
            <v>0</v>
          </cell>
          <cell r="I186">
            <v>44926</v>
          </cell>
          <cell r="J186">
            <v>0</v>
          </cell>
          <cell r="K186">
            <v>0</v>
          </cell>
        </row>
        <row r="187">
          <cell r="B187" t="str">
            <v>210-250-400</v>
          </cell>
          <cell r="C187" t="str">
            <v>Liability</v>
          </cell>
          <cell r="D187" t="str">
            <v>Hospital - Tax Liability</v>
          </cell>
          <cell r="E187" t="str">
            <v>2022</v>
          </cell>
          <cell r="F187">
            <v>0</v>
          </cell>
          <cell r="G187">
            <v>0</v>
          </cell>
          <cell r="H187">
            <v>0</v>
          </cell>
          <cell r="I187">
            <v>44926</v>
          </cell>
          <cell r="J187">
            <v>0</v>
          </cell>
          <cell r="K187">
            <v>0</v>
          </cell>
        </row>
        <row r="188">
          <cell r="B188" t="str">
            <v>210-250-500</v>
          </cell>
          <cell r="C188" t="str">
            <v>Liability</v>
          </cell>
          <cell r="D188" t="str">
            <v>Contra Account</v>
          </cell>
          <cell r="E188" t="str">
            <v>2022</v>
          </cell>
          <cell r="F188">
            <v>0</v>
          </cell>
          <cell r="G188">
            <v>0</v>
          </cell>
          <cell r="H188">
            <v>0</v>
          </cell>
          <cell r="I188">
            <v>44926</v>
          </cell>
          <cell r="J188">
            <v>1363.31</v>
          </cell>
          <cell r="K188">
            <v>-1363.31</v>
          </cell>
        </row>
        <row r="189">
          <cell r="B189" t="str">
            <v>210-250-510</v>
          </cell>
          <cell r="C189" t="str">
            <v>Liability</v>
          </cell>
          <cell r="D189" t="str">
            <v>Other #2 - Tax Liability</v>
          </cell>
          <cell r="E189" t="str">
            <v>2022</v>
          </cell>
          <cell r="F189">
            <v>0</v>
          </cell>
          <cell r="G189">
            <v>0</v>
          </cell>
          <cell r="H189">
            <v>0</v>
          </cell>
          <cell r="I189">
            <v>44926</v>
          </cell>
          <cell r="J189">
            <v>0</v>
          </cell>
          <cell r="K189">
            <v>0</v>
          </cell>
        </row>
        <row r="190">
          <cell r="B190" t="str">
            <v>210-250-520</v>
          </cell>
          <cell r="C190" t="str">
            <v>Liability</v>
          </cell>
          <cell r="D190" t="str">
            <v>Other #3 - Tax Liability</v>
          </cell>
          <cell r="E190" t="str">
            <v>2022</v>
          </cell>
          <cell r="F190">
            <v>0</v>
          </cell>
          <cell r="G190">
            <v>0</v>
          </cell>
          <cell r="H190">
            <v>0</v>
          </cell>
          <cell r="I190">
            <v>44926</v>
          </cell>
          <cell r="J190">
            <v>0</v>
          </cell>
          <cell r="K190">
            <v>0</v>
          </cell>
        </row>
        <row r="191">
          <cell r="B191" t="str">
            <v>210-250-700</v>
          </cell>
          <cell r="C191" t="str">
            <v>Liability</v>
          </cell>
          <cell r="D191" t="str">
            <v>SK Municipal Hail - Tax Liability</v>
          </cell>
          <cell r="E191" t="str">
            <v>2022</v>
          </cell>
          <cell r="F191">
            <v>0</v>
          </cell>
          <cell r="G191">
            <v>0</v>
          </cell>
          <cell r="H191">
            <v>0</v>
          </cell>
          <cell r="I191">
            <v>44926</v>
          </cell>
          <cell r="J191">
            <v>0</v>
          </cell>
          <cell r="K191">
            <v>0</v>
          </cell>
        </row>
        <row r="192">
          <cell r="B192" t="str">
            <v>210-250-800</v>
          </cell>
          <cell r="C192" t="str">
            <v>Liability</v>
          </cell>
          <cell r="D192" t="str">
            <v>Municipal Potash - Tax Liability</v>
          </cell>
          <cell r="E192" t="str">
            <v>2022</v>
          </cell>
          <cell r="F192">
            <v>0</v>
          </cell>
          <cell r="G192">
            <v>0</v>
          </cell>
          <cell r="H192">
            <v>0</v>
          </cell>
          <cell r="I192">
            <v>44926</v>
          </cell>
          <cell r="J192">
            <v>0</v>
          </cell>
          <cell r="K192">
            <v>0</v>
          </cell>
        </row>
        <row r="193">
          <cell r="B193" t="str">
            <v>210-270-050</v>
          </cell>
          <cell r="C193" t="str">
            <v>Liability</v>
          </cell>
          <cell r="D193" t="str">
            <v>ACCRUED LIABILITIES</v>
          </cell>
          <cell r="E193" t="str">
            <v>2022</v>
          </cell>
          <cell r="F193">
            <v>0</v>
          </cell>
          <cell r="G193">
            <v>0</v>
          </cell>
          <cell r="H193">
            <v>0</v>
          </cell>
          <cell r="I193">
            <v>44926</v>
          </cell>
          <cell r="J193">
            <v>0</v>
          </cell>
          <cell r="K193">
            <v>0</v>
          </cell>
        </row>
        <row r="194">
          <cell r="B194" t="str">
            <v>210-270-100</v>
          </cell>
          <cell r="C194" t="str">
            <v>Liability</v>
          </cell>
          <cell r="D194" t="str">
            <v>Accrued Liabilities</v>
          </cell>
          <cell r="E194" t="str">
            <v>2022</v>
          </cell>
          <cell r="F194">
            <v>0</v>
          </cell>
          <cell r="G194">
            <v>0</v>
          </cell>
          <cell r="H194">
            <v>-621.97</v>
          </cell>
          <cell r="I194">
            <v>44926</v>
          </cell>
          <cell r="J194">
            <v>-1623.04</v>
          </cell>
          <cell r="K194">
            <v>398.9</v>
          </cell>
        </row>
        <row r="195">
          <cell r="B195" t="str">
            <v>210-270-210</v>
          </cell>
          <cell r="C195" t="str">
            <v>Liability</v>
          </cell>
          <cell r="D195" t="str">
            <v xml:space="preserve">Accrued Expenses                        </v>
          </cell>
          <cell r="E195" t="str">
            <v>2022</v>
          </cell>
          <cell r="F195">
            <v>0</v>
          </cell>
          <cell r="G195">
            <v>0</v>
          </cell>
          <cell r="H195">
            <v>-101705.03</v>
          </cell>
          <cell r="I195">
            <v>44926</v>
          </cell>
          <cell r="J195">
            <v>100612.55</v>
          </cell>
          <cell r="K195">
            <v>8342.48</v>
          </cell>
        </row>
        <row r="196">
          <cell r="B196" t="str">
            <v>210-300-050</v>
          </cell>
          <cell r="C196" t="str">
            <v>Liability</v>
          </cell>
          <cell r="D196" t="str">
            <v>UTILITY DEPOSITS</v>
          </cell>
          <cell r="E196" t="str">
            <v>2022</v>
          </cell>
          <cell r="F196">
            <v>0</v>
          </cell>
          <cell r="G196">
            <v>0</v>
          </cell>
          <cell r="H196">
            <v>0</v>
          </cell>
          <cell r="I196">
            <v>44926</v>
          </cell>
          <cell r="J196">
            <v>0</v>
          </cell>
          <cell r="K196">
            <v>0</v>
          </cell>
        </row>
        <row r="197">
          <cell r="B197" t="str">
            <v>210-300-100</v>
          </cell>
          <cell r="C197" t="str">
            <v>Liability</v>
          </cell>
          <cell r="D197" t="str">
            <v>Water Deposits</v>
          </cell>
          <cell r="E197" t="str">
            <v>2022</v>
          </cell>
          <cell r="F197">
            <v>0</v>
          </cell>
          <cell r="G197">
            <v>0</v>
          </cell>
          <cell r="H197">
            <v>0</v>
          </cell>
          <cell r="I197">
            <v>44926</v>
          </cell>
          <cell r="J197">
            <v>0</v>
          </cell>
          <cell r="K197">
            <v>0</v>
          </cell>
        </row>
        <row r="198">
          <cell r="B198" t="str">
            <v>210-300-900</v>
          </cell>
          <cell r="C198" t="str">
            <v>Liability</v>
          </cell>
          <cell r="D198" t="str">
            <v>Other Deposits</v>
          </cell>
          <cell r="E198" t="str">
            <v>2022</v>
          </cell>
          <cell r="F198">
            <v>0</v>
          </cell>
          <cell r="G198">
            <v>0</v>
          </cell>
          <cell r="H198">
            <v>0</v>
          </cell>
          <cell r="I198">
            <v>44926</v>
          </cell>
          <cell r="J198">
            <v>0</v>
          </cell>
          <cell r="K198">
            <v>0</v>
          </cell>
        </row>
        <row r="199">
          <cell r="B199" t="str">
            <v>210-400-050</v>
          </cell>
          <cell r="C199" t="str">
            <v>Liability</v>
          </cell>
          <cell r="D199" t="str">
            <v>DEFERRED REVENUE</v>
          </cell>
          <cell r="E199" t="str">
            <v>2022</v>
          </cell>
          <cell r="F199">
            <v>0</v>
          </cell>
          <cell r="G199">
            <v>0</v>
          </cell>
          <cell r="H199">
            <v>0</v>
          </cell>
          <cell r="I199">
            <v>44926</v>
          </cell>
          <cell r="J199">
            <v>0</v>
          </cell>
          <cell r="K199">
            <v>0</v>
          </cell>
        </row>
        <row r="200">
          <cell r="B200" t="str">
            <v>210-400-100</v>
          </cell>
          <cell r="C200" t="str">
            <v>Liability</v>
          </cell>
          <cell r="D200" t="str">
            <v>Prepaid Revenue</v>
          </cell>
          <cell r="E200" t="str">
            <v>2022</v>
          </cell>
          <cell r="F200">
            <v>0</v>
          </cell>
          <cell r="G200">
            <v>0</v>
          </cell>
          <cell r="H200">
            <v>0</v>
          </cell>
          <cell r="I200">
            <v>44926</v>
          </cell>
          <cell r="J200">
            <v>0</v>
          </cell>
          <cell r="K200">
            <v>0</v>
          </cell>
        </row>
        <row r="201">
          <cell r="B201" t="str">
            <v>210-400-200</v>
          </cell>
          <cell r="C201" t="str">
            <v>Liability</v>
          </cell>
          <cell r="D201" t="str">
            <v>Prepaid Taxes</v>
          </cell>
          <cell r="E201" t="str">
            <v>2022</v>
          </cell>
          <cell r="F201">
            <v>0</v>
          </cell>
          <cell r="G201">
            <v>0</v>
          </cell>
          <cell r="H201">
            <v>0</v>
          </cell>
          <cell r="I201">
            <v>44926</v>
          </cell>
          <cell r="J201">
            <v>0</v>
          </cell>
          <cell r="K201">
            <v>0</v>
          </cell>
        </row>
        <row r="202">
          <cell r="B202" t="str">
            <v>210-400-300</v>
          </cell>
          <cell r="C202" t="str">
            <v>Liability</v>
          </cell>
          <cell r="D202" t="str">
            <v>Overpaid Taxes - Received</v>
          </cell>
          <cell r="E202" t="str">
            <v>2022</v>
          </cell>
          <cell r="F202">
            <v>0</v>
          </cell>
          <cell r="G202">
            <v>0</v>
          </cell>
          <cell r="H202">
            <v>0</v>
          </cell>
          <cell r="I202">
            <v>44926</v>
          </cell>
          <cell r="J202">
            <v>0</v>
          </cell>
          <cell r="K202">
            <v>-39856.160000000003</v>
          </cell>
        </row>
        <row r="203">
          <cell r="B203" t="str">
            <v>210-400-400</v>
          </cell>
          <cell r="C203" t="str">
            <v>Liability</v>
          </cell>
          <cell r="D203" t="str">
            <v>Commuted Frontage Taxes</v>
          </cell>
          <cell r="E203" t="str">
            <v>2022</v>
          </cell>
          <cell r="F203">
            <v>0</v>
          </cell>
          <cell r="G203">
            <v>0</v>
          </cell>
          <cell r="H203">
            <v>0</v>
          </cell>
          <cell r="I203">
            <v>44926</v>
          </cell>
          <cell r="J203">
            <v>0</v>
          </cell>
          <cell r="K203">
            <v>0</v>
          </cell>
        </row>
        <row r="204">
          <cell r="B204" t="str">
            <v>210-400-500</v>
          </cell>
          <cell r="C204" t="str">
            <v>Liability</v>
          </cell>
          <cell r="D204" t="str">
            <v>Frontage Taxes Levied in Advance</v>
          </cell>
          <cell r="E204" t="str">
            <v>2022</v>
          </cell>
          <cell r="F204">
            <v>0</v>
          </cell>
          <cell r="G204">
            <v>0</v>
          </cell>
          <cell r="H204">
            <v>0</v>
          </cell>
          <cell r="I204">
            <v>44926</v>
          </cell>
          <cell r="J204">
            <v>0</v>
          </cell>
          <cell r="K204">
            <v>0</v>
          </cell>
        </row>
        <row r="205">
          <cell r="B205" t="str">
            <v>210-400-800</v>
          </cell>
          <cell r="C205" t="str">
            <v>Liability</v>
          </cell>
          <cell r="D205" t="str">
            <v>PerfectMind Gift Cards</v>
          </cell>
          <cell r="E205" t="str">
            <v>2022</v>
          </cell>
          <cell r="F205">
            <v>0</v>
          </cell>
          <cell r="G205">
            <v>0</v>
          </cell>
          <cell r="H205">
            <v>0</v>
          </cell>
          <cell r="I205">
            <v>44926</v>
          </cell>
        </row>
        <row r="206">
          <cell r="B206" t="str">
            <v>210-400-810</v>
          </cell>
          <cell r="C206" t="str">
            <v>Liability</v>
          </cell>
          <cell r="D206" t="str">
            <v>PerfectMind Credit Holding</v>
          </cell>
          <cell r="E206" t="str">
            <v>2022</v>
          </cell>
          <cell r="F206">
            <v>92.5</v>
          </cell>
          <cell r="G206">
            <v>92.5</v>
          </cell>
          <cell r="H206">
            <v>0</v>
          </cell>
          <cell r="I206">
            <v>44926</v>
          </cell>
        </row>
        <row r="207">
          <cell r="B207" t="str">
            <v>210-400-820</v>
          </cell>
          <cell r="C207" t="str">
            <v>Liability</v>
          </cell>
          <cell r="D207" t="str">
            <v>PerfectMind Facility Deposit</v>
          </cell>
          <cell r="E207" t="str">
            <v>2022</v>
          </cell>
          <cell r="F207">
            <v>850</v>
          </cell>
          <cell r="G207">
            <v>850</v>
          </cell>
          <cell r="H207">
            <v>0</v>
          </cell>
          <cell r="I207">
            <v>44926</v>
          </cell>
        </row>
        <row r="208">
          <cell r="B208" t="str">
            <v>210-400-830</v>
          </cell>
          <cell r="C208" t="str">
            <v>Liability</v>
          </cell>
          <cell r="D208" t="str">
            <v>PerfectMind Till Adjustment</v>
          </cell>
          <cell r="E208" t="str">
            <v>2022</v>
          </cell>
          <cell r="F208">
            <v>0</v>
          </cell>
          <cell r="G208">
            <v>0</v>
          </cell>
          <cell r="H208">
            <v>0</v>
          </cell>
          <cell r="I208">
            <v>44926</v>
          </cell>
        </row>
        <row r="209">
          <cell r="B209" t="str">
            <v>210-400-840</v>
          </cell>
          <cell r="C209" t="str">
            <v>Liability</v>
          </cell>
          <cell r="D209" t="str">
            <v>PM Credit Payout</v>
          </cell>
          <cell r="E209" t="str">
            <v>2022</v>
          </cell>
          <cell r="F209">
            <v>0</v>
          </cell>
          <cell r="G209">
            <v>0</v>
          </cell>
          <cell r="H209">
            <v>0</v>
          </cell>
          <cell r="I209">
            <v>44926</v>
          </cell>
        </row>
        <row r="210">
          <cell r="B210" t="str">
            <v>210-400-900</v>
          </cell>
          <cell r="C210" t="str">
            <v>Liability</v>
          </cell>
          <cell r="D210" t="str">
            <v>Suspense</v>
          </cell>
          <cell r="E210" t="str">
            <v>2022</v>
          </cell>
          <cell r="F210">
            <v>-155087.26999999999</v>
          </cell>
          <cell r="G210">
            <v>-155087.26999999999</v>
          </cell>
          <cell r="H210">
            <v>419</v>
          </cell>
          <cell r="I210">
            <v>44926</v>
          </cell>
          <cell r="J210">
            <v>204.29</v>
          </cell>
          <cell r="K210">
            <v>2347.6999999999998</v>
          </cell>
        </row>
        <row r="211">
          <cell r="B211" t="str">
            <v>210-400-910</v>
          </cell>
          <cell r="C211" t="str">
            <v>Liability</v>
          </cell>
          <cell r="D211" t="str">
            <v xml:space="preserve">Community Hall Deposits                 </v>
          </cell>
          <cell r="E211" t="str">
            <v>2022</v>
          </cell>
          <cell r="F211">
            <v>-1050</v>
          </cell>
          <cell r="G211">
            <v>-1050</v>
          </cell>
          <cell r="H211">
            <v>650</v>
          </cell>
          <cell r="I211">
            <v>44926</v>
          </cell>
          <cell r="J211">
            <v>-250</v>
          </cell>
          <cell r="K211">
            <v>-4100</v>
          </cell>
        </row>
        <row r="212">
          <cell r="B212" t="str">
            <v>210-400-920</v>
          </cell>
          <cell r="C212" t="str">
            <v>Liability</v>
          </cell>
          <cell r="D212" t="str">
            <v xml:space="preserve">Theatre Deposits                        </v>
          </cell>
          <cell r="E212" t="str">
            <v>2022</v>
          </cell>
          <cell r="F212">
            <v>-200</v>
          </cell>
          <cell r="G212">
            <v>-200</v>
          </cell>
          <cell r="H212">
            <v>0</v>
          </cell>
          <cell r="I212">
            <v>44926</v>
          </cell>
          <cell r="J212">
            <v>-80</v>
          </cell>
          <cell r="K212">
            <v>180</v>
          </cell>
        </row>
        <row r="213">
          <cell r="B213" t="str">
            <v>210-400-930</v>
          </cell>
          <cell r="C213" t="str">
            <v>Liability</v>
          </cell>
          <cell r="D213" t="str">
            <v>Sportsground Deposits</v>
          </cell>
          <cell r="E213" t="str">
            <v>2022</v>
          </cell>
          <cell r="F213">
            <v>1825</v>
          </cell>
          <cell r="G213">
            <v>1825</v>
          </cell>
          <cell r="H213">
            <v>682.5</v>
          </cell>
          <cell r="I213">
            <v>44926</v>
          </cell>
          <cell r="J213">
            <v>-100</v>
          </cell>
          <cell r="K213">
            <v>100</v>
          </cell>
        </row>
        <row r="214">
          <cell r="B214" t="str">
            <v>210-400-940</v>
          </cell>
          <cell r="C214" t="str">
            <v>Liability</v>
          </cell>
          <cell r="D214" t="str">
            <v>Land for Resale Deposits</v>
          </cell>
          <cell r="E214" t="str">
            <v>2022</v>
          </cell>
          <cell r="F214">
            <v>0</v>
          </cell>
          <cell r="G214">
            <v>0</v>
          </cell>
          <cell r="H214">
            <v>0</v>
          </cell>
          <cell r="I214">
            <v>44926</v>
          </cell>
          <cell r="J214">
            <v>-32555.13</v>
          </cell>
          <cell r="K214">
            <v>-2650</v>
          </cell>
        </row>
        <row r="215">
          <cell r="B215" t="str">
            <v>210-400-950</v>
          </cell>
          <cell r="C215" t="str">
            <v>Liability</v>
          </cell>
          <cell r="D215" t="str">
            <v>Deferred Grant Revenue</v>
          </cell>
          <cell r="E215" t="str">
            <v>2022</v>
          </cell>
          <cell r="F215">
            <v>0</v>
          </cell>
          <cell r="G215">
            <v>0</v>
          </cell>
          <cell r="H215">
            <v>-158665.81</v>
          </cell>
          <cell r="I215">
            <v>44926</v>
          </cell>
          <cell r="J215">
            <v>158665.81</v>
          </cell>
        </row>
        <row r="216">
          <cell r="B216" t="str">
            <v>210-500-050</v>
          </cell>
          <cell r="C216" t="str">
            <v>Liability</v>
          </cell>
          <cell r="D216" t="str">
            <v>ACCRUED LANDFILL COSTS</v>
          </cell>
          <cell r="E216" t="str">
            <v>2022</v>
          </cell>
          <cell r="F216">
            <v>0</v>
          </cell>
          <cell r="G216">
            <v>0</v>
          </cell>
          <cell r="H216">
            <v>0</v>
          </cell>
          <cell r="I216">
            <v>44926</v>
          </cell>
          <cell r="J216">
            <v>0</v>
          </cell>
          <cell r="K216">
            <v>0</v>
          </cell>
        </row>
        <row r="217">
          <cell r="B217" t="str">
            <v>210-500-100</v>
          </cell>
          <cell r="C217" t="str">
            <v>Liability</v>
          </cell>
          <cell r="D217" t="str">
            <v>Accrued Landfill Costs</v>
          </cell>
          <cell r="E217" t="str">
            <v>2022</v>
          </cell>
          <cell r="F217">
            <v>0</v>
          </cell>
          <cell r="G217">
            <v>0</v>
          </cell>
          <cell r="H217">
            <v>0</v>
          </cell>
          <cell r="I217">
            <v>44926</v>
          </cell>
          <cell r="J217">
            <v>0</v>
          </cell>
          <cell r="K217">
            <v>0</v>
          </cell>
        </row>
        <row r="218">
          <cell r="B218" t="str">
            <v>210-600-050</v>
          </cell>
          <cell r="C218" t="str">
            <v>Liability</v>
          </cell>
          <cell r="D218" t="str">
            <v>OTHER LIABILITIES</v>
          </cell>
          <cell r="E218" t="str">
            <v>2022</v>
          </cell>
          <cell r="F218">
            <v>0</v>
          </cell>
          <cell r="G218">
            <v>0</v>
          </cell>
          <cell r="H218">
            <v>0</v>
          </cell>
          <cell r="I218">
            <v>44926</v>
          </cell>
          <cell r="J218">
            <v>0</v>
          </cell>
          <cell r="K218">
            <v>0</v>
          </cell>
        </row>
        <row r="219">
          <cell r="B219" t="str">
            <v>210-600-100</v>
          </cell>
          <cell r="C219" t="str">
            <v>Liability</v>
          </cell>
          <cell r="D219" t="str">
            <v>Due from Steering Committee</v>
          </cell>
          <cell r="E219" t="str">
            <v>2022</v>
          </cell>
          <cell r="F219">
            <v>0</v>
          </cell>
          <cell r="G219">
            <v>0</v>
          </cell>
          <cell r="H219">
            <v>75200</v>
          </cell>
          <cell r="I219">
            <v>44926</v>
          </cell>
          <cell r="J219">
            <v>20000</v>
          </cell>
          <cell r="K219">
            <v>-95200</v>
          </cell>
        </row>
        <row r="220">
          <cell r="B220" t="str">
            <v>210-700-050</v>
          </cell>
          <cell r="C220" t="str">
            <v>Liability</v>
          </cell>
          <cell r="D220" t="str">
            <v>LONG TERM DEBT</v>
          </cell>
          <cell r="E220" t="str">
            <v>2022</v>
          </cell>
          <cell r="F220">
            <v>0</v>
          </cell>
          <cell r="G220">
            <v>0</v>
          </cell>
          <cell r="H220">
            <v>0</v>
          </cell>
          <cell r="I220">
            <v>44926</v>
          </cell>
          <cell r="J220">
            <v>0</v>
          </cell>
          <cell r="K220">
            <v>0</v>
          </cell>
        </row>
        <row r="221">
          <cell r="B221" t="str">
            <v>210-700-100</v>
          </cell>
          <cell r="C221" t="str">
            <v>Liability</v>
          </cell>
          <cell r="D221" t="str">
            <v>Long Term Debt - General Government</v>
          </cell>
          <cell r="E221" t="str">
            <v>2022</v>
          </cell>
          <cell r="F221">
            <v>0</v>
          </cell>
          <cell r="G221">
            <v>0</v>
          </cell>
          <cell r="H221">
            <v>0</v>
          </cell>
          <cell r="I221">
            <v>44926</v>
          </cell>
          <cell r="J221">
            <v>0</v>
          </cell>
          <cell r="K221">
            <v>0</v>
          </cell>
        </row>
        <row r="222">
          <cell r="B222" t="str">
            <v>210-700-200</v>
          </cell>
          <cell r="C222" t="str">
            <v>Liability</v>
          </cell>
          <cell r="D222" t="str">
            <v>Long Term Debt - Protective Services</v>
          </cell>
          <cell r="E222" t="str">
            <v>2022</v>
          </cell>
          <cell r="F222">
            <v>0</v>
          </cell>
          <cell r="G222">
            <v>0</v>
          </cell>
          <cell r="H222">
            <v>0</v>
          </cell>
          <cell r="I222">
            <v>44926</v>
          </cell>
          <cell r="J222">
            <v>0</v>
          </cell>
          <cell r="K222">
            <v>0</v>
          </cell>
        </row>
        <row r="223">
          <cell r="B223" t="str">
            <v>210-700-300</v>
          </cell>
          <cell r="C223" t="str">
            <v>Liability</v>
          </cell>
          <cell r="D223" t="str">
            <v>Long Term Debt - Transportation Services</v>
          </cell>
          <cell r="E223" t="str">
            <v>2022</v>
          </cell>
          <cell r="F223">
            <v>0</v>
          </cell>
          <cell r="G223">
            <v>0</v>
          </cell>
          <cell r="H223">
            <v>0</v>
          </cell>
          <cell r="I223">
            <v>44926</v>
          </cell>
          <cell r="J223">
            <v>0</v>
          </cell>
          <cell r="K223">
            <v>0</v>
          </cell>
        </row>
        <row r="224">
          <cell r="B224" t="str">
            <v>210-700-400</v>
          </cell>
          <cell r="C224" t="str">
            <v>Liability</v>
          </cell>
          <cell r="D224" t="str">
            <v>Long Term Debt - Environmental Health</v>
          </cell>
          <cell r="E224" t="str">
            <v>2022</v>
          </cell>
          <cell r="F224">
            <v>0</v>
          </cell>
          <cell r="G224">
            <v>0</v>
          </cell>
          <cell r="H224">
            <v>0</v>
          </cell>
          <cell r="I224">
            <v>44926</v>
          </cell>
          <cell r="J224">
            <v>0</v>
          </cell>
          <cell r="K224">
            <v>0</v>
          </cell>
        </row>
        <row r="225">
          <cell r="B225" t="str">
            <v>210-700-500</v>
          </cell>
          <cell r="C225" t="str">
            <v>Liability</v>
          </cell>
          <cell r="D225" t="str">
            <v>Long Term Debt - Public Health &amp; Welfare</v>
          </cell>
          <cell r="E225" t="str">
            <v>2022</v>
          </cell>
          <cell r="F225">
            <v>0</v>
          </cell>
          <cell r="G225">
            <v>0</v>
          </cell>
          <cell r="H225">
            <v>0</v>
          </cell>
          <cell r="I225">
            <v>44926</v>
          </cell>
          <cell r="J225">
            <v>0</v>
          </cell>
          <cell r="K225">
            <v>0</v>
          </cell>
        </row>
        <row r="226">
          <cell r="B226" t="str">
            <v>210-700-600</v>
          </cell>
          <cell r="C226" t="str">
            <v>Liability</v>
          </cell>
          <cell r="D226" t="str">
            <v>Long Term Debt - Planning &amp; Development</v>
          </cell>
          <cell r="E226" t="str">
            <v>2022</v>
          </cell>
          <cell r="F226">
            <v>0</v>
          </cell>
          <cell r="G226">
            <v>0</v>
          </cell>
          <cell r="H226">
            <v>0</v>
          </cell>
          <cell r="I226">
            <v>44926</v>
          </cell>
          <cell r="J226">
            <v>0</v>
          </cell>
          <cell r="K226">
            <v>0</v>
          </cell>
        </row>
        <row r="227">
          <cell r="B227" t="str">
            <v>210-700-700</v>
          </cell>
          <cell r="C227" t="str">
            <v>Liability</v>
          </cell>
          <cell r="D227" t="str">
            <v>Long Term Debt - Recreation &amp; Culture</v>
          </cell>
          <cell r="E227" t="str">
            <v>2022</v>
          </cell>
          <cell r="F227">
            <v>0</v>
          </cell>
          <cell r="G227">
            <v>0</v>
          </cell>
          <cell r="H227">
            <v>0</v>
          </cell>
          <cell r="I227">
            <v>44926</v>
          </cell>
          <cell r="J227">
            <v>0</v>
          </cell>
          <cell r="K227">
            <v>0</v>
          </cell>
        </row>
        <row r="228">
          <cell r="B228" t="str">
            <v>210-700-800</v>
          </cell>
          <cell r="C228" t="str">
            <v>Liability</v>
          </cell>
          <cell r="D228" t="str">
            <v>Long Term Debt - WWTP - CMHC</v>
          </cell>
          <cell r="E228" t="str">
            <v>2022</v>
          </cell>
          <cell r="F228">
            <v>0</v>
          </cell>
          <cell r="G228">
            <v>0</v>
          </cell>
          <cell r="H228">
            <v>-217405.4</v>
          </cell>
          <cell r="I228">
            <v>44926</v>
          </cell>
          <cell r="J228">
            <v>-214686.47</v>
          </cell>
          <cell r="K228">
            <v>-195337.61</v>
          </cell>
        </row>
        <row r="229">
          <cell r="B229" t="str">
            <v>210-700-810</v>
          </cell>
          <cell r="C229" t="str">
            <v>Liability</v>
          </cell>
          <cell r="D229" t="str">
            <v xml:space="preserve">Capital Lease                           </v>
          </cell>
          <cell r="E229" t="str">
            <v>2022</v>
          </cell>
          <cell r="F229">
            <v>0</v>
          </cell>
          <cell r="G229">
            <v>0</v>
          </cell>
          <cell r="H229">
            <v>0</v>
          </cell>
          <cell r="I229">
            <v>44926</v>
          </cell>
          <cell r="J229">
            <v>0</v>
          </cell>
          <cell r="K229">
            <v>-57541.66</v>
          </cell>
        </row>
        <row r="230">
          <cell r="B230" t="str">
            <v>210-700-900</v>
          </cell>
          <cell r="C230" t="str">
            <v>Liability</v>
          </cell>
          <cell r="D230" t="str">
            <v>Long Term Debt - Other #1</v>
          </cell>
          <cell r="E230" t="str">
            <v>2022</v>
          </cell>
          <cell r="F230">
            <v>0</v>
          </cell>
          <cell r="G230">
            <v>0</v>
          </cell>
          <cell r="H230">
            <v>0</v>
          </cell>
          <cell r="I230">
            <v>44926</v>
          </cell>
          <cell r="J230">
            <v>0</v>
          </cell>
          <cell r="K230">
            <v>0</v>
          </cell>
        </row>
        <row r="231">
          <cell r="B231" t="str">
            <v>210-800-100</v>
          </cell>
          <cell r="C231" t="str">
            <v>Liability</v>
          </cell>
          <cell r="D231" t="str">
            <v>TL - Doctor Recruitment</v>
          </cell>
          <cell r="E231" t="str">
            <v>2022</v>
          </cell>
          <cell r="F231">
            <v>15173.08</v>
          </cell>
          <cell r="G231">
            <v>15173.08</v>
          </cell>
          <cell r="H231">
            <v>-6417.53</v>
          </cell>
          <cell r="I231">
            <v>44926</v>
          </cell>
          <cell r="J231">
            <v>6896.81</v>
          </cell>
          <cell r="K231">
            <v>-26603.599999999999</v>
          </cell>
        </row>
        <row r="232">
          <cell r="B232" t="str">
            <v>210-800-110</v>
          </cell>
          <cell r="C232" t="str">
            <v>Liability</v>
          </cell>
          <cell r="D232" t="str">
            <v xml:space="preserve">TL - Recreation Facilities              </v>
          </cell>
          <cell r="E232" t="str">
            <v>2022</v>
          </cell>
          <cell r="F232">
            <v>0</v>
          </cell>
          <cell r="G232">
            <v>0</v>
          </cell>
          <cell r="H232">
            <v>0</v>
          </cell>
          <cell r="I232">
            <v>44926</v>
          </cell>
          <cell r="J232">
            <v>0</v>
          </cell>
          <cell r="K232">
            <v>-4162.55</v>
          </cell>
        </row>
        <row r="233">
          <cell r="B233" t="str">
            <v>210-800-120</v>
          </cell>
          <cell r="C233" t="str">
            <v>Liability</v>
          </cell>
          <cell r="D233" t="str">
            <v xml:space="preserve">TL - Soccer Program                     </v>
          </cell>
          <cell r="E233" t="str">
            <v>2022</v>
          </cell>
          <cell r="F233">
            <v>0</v>
          </cell>
          <cell r="G233">
            <v>0</v>
          </cell>
          <cell r="H233">
            <v>2290</v>
          </cell>
          <cell r="I233">
            <v>44926</v>
          </cell>
          <cell r="J233">
            <v>0</v>
          </cell>
          <cell r="K233">
            <v>1092.5999999999999</v>
          </cell>
        </row>
        <row r="234">
          <cell r="B234" t="str">
            <v>210-800-130</v>
          </cell>
          <cell r="C234" t="str">
            <v>Liability</v>
          </cell>
          <cell r="D234" t="str">
            <v xml:space="preserve">TL - Museum                             </v>
          </cell>
          <cell r="E234" t="str">
            <v>2022</v>
          </cell>
          <cell r="F234">
            <v>0</v>
          </cell>
          <cell r="G234">
            <v>0</v>
          </cell>
          <cell r="H234">
            <v>0</v>
          </cell>
          <cell r="I234">
            <v>44926</v>
          </cell>
          <cell r="J234">
            <v>0</v>
          </cell>
          <cell r="K234">
            <v>-4108.8</v>
          </cell>
        </row>
        <row r="235">
          <cell r="B235" t="str">
            <v>210-800-135</v>
          </cell>
          <cell r="C235" t="str">
            <v>Liability</v>
          </cell>
          <cell r="D235" t="str">
            <v>TL - Museum Cookbooks</v>
          </cell>
          <cell r="E235" t="str">
            <v>2022</v>
          </cell>
          <cell r="F235">
            <v>0</v>
          </cell>
          <cell r="G235">
            <v>0</v>
          </cell>
          <cell r="H235">
            <v>0</v>
          </cell>
          <cell r="I235">
            <v>44926</v>
          </cell>
          <cell r="J235">
            <v>0</v>
          </cell>
          <cell r="K235">
            <v>120</v>
          </cell>
        </row>
        <row r="236">
          <cell r="B236" t="str">
            <v>210-800-140</v>
          </cell>
          <cell r="C236" t="str">
            <v>Liability</v>
          </cell>
          <cell r="D236" t="str">
            <v>TL -  Pool Fundraising</v>
          </cell>
          <cell r="E236" t="str">
            <v>2022</v>
          </cell>
          <cell r="F236">
            <v>0</v>
          </cell>
          <cell r="G236">
            <v>0</v>
          </cell>
          <cell r="H236">
            <v>0</v>
          </cell>
          <cell r="I236">
            <v>44926</v>
          </cell>
          <cell r="J236">
            <v>0</v>
          </cell>
          <cell r="K236">
            <v>-2084.37</v>
          </cell>
        </row>
        <row r="237">
          <cell r="B237" t="str">
            <v>210-800-145</v>
          </cell>
          <cell r="C237" t="str">
            <v>Liability</v>
          </cell>
          <cell r="D237" t="str">
            <v>TL - Pickleball</v>
          </cell>
          <cell r="E237" t="str">
            <v>2022</v>
          </cell>
          <cell r="F237">
            <v>0</v>
          </cell>
          <cell r="G237">
            <v>0</v>
          </cell>
          <cell r="H237">
            <v>0</v>
          </cell>
          <cell r="I237">
            <v>44926</v>
          </cell>
          <cell r="J237">
            <v>-20720.21</v>
          </cell>
          <cell r="K237">
            <v>20720.21</v>
          </cell>
        </row>
        <row r="238">
          <cell r="B238" t="str">
            <v>210-800-150</v>
          </cell>
          <cell r="C238" t="str">
            <v>Liability</v>
          </cell>
          <cell r="D238" t="str">
            <v>TL - Volleyball</v>
          </cell>
          <cell r="E238" t="str">
            <v>2022</v>
          </cell>
          <cell r="F238">
            <v>0</v>
          </cell>
          <cell r="G238">
            <v>0</v>
          </cell>
          <cell r="H238">
            <v>0</v>
          </cell>
          <cell r="I238">
            <v>44926</v>
          </cell>
          <cell r="J238">
            <v>0</v>
          </cell>
          <cell r="K238">
            <v>400</v>
          </cell>
        </row>
        <row r="239">
          <cell r="B239" t="str">
            <v>210-800-155</v>
          </cell>
          <cell r="C239" t="str">
            <v>Liability</v>
          </cell>
          <cell r="D239" t="str">
            <v>TL - Intermunicipal Business Licensing</v>
          </cell>
          <cell r="E239" t="str">
            <v>2022</v>
          </cell>
          <cell r="F239">
            <v>0</v>
          </cell>
          <cell r="G239">
            <v>0</v>
          </cell>
          <cell r="H239">
            <v>0</v>
          </cell>
          <cell r="I239">
            <v>44926</v>
          </cell>
          <cell r="J239">
            <v>0</v>
          </cell>
          <cell r="K239">
            <v>0</v>
          </cell>
        </row>
        <row r="240">
          <cell r="B240" t="str">
            <v>210-800-160</v>
          </cell>
          <cell r="C240" t="str">
            <v>Liability</v>
          </cell>
          <cell r="D240" t="str">
            <v xml:space="preserve">TL - Tax Enforcement Costs              </v>
          </cell>
          <cell r="E240" t="str">
            <v>2022</v>
          </cell>
          <cell r="F240">
            <v>0</v>
          </cell>
          <cell r="G240">
            <v>0</v>
          </cell>
          <cell r="H240">
            <v>0</v>
          </cell>
          <cell r="I240">
            <v>44926</v>
          </cell>
          <cell r="J240">
            <v>0</v>
          </cell>
          <cell r="K240">
            <v>0</v>
          </cell>
        </row>
        <row r="241">
          <cell r="B241" t="str">
            <v>210-900-050</v>
          </cell>
          <cell r="C241" t="str">
            <v>Liability</v>
          </cell>
          <cell r="D241" t="str">
            <v>ASSET VALUATION ACCOUNTS</v>
          </cell>
          <cell r="E241" t="str">
            <v>2022</v>
          </cell>
          <cell r="F241">
            <v>0</v>
          </cell>
          <cell r="G241">
            <v>0</v>
          </cell>
          <cell r="H241">
            <v>0</v>
          </cell>
          <cell r="I241">
            <v>44926</v>
          </cell>
          <cell r="J241">
            <v>0</v>
          </cell>
          <cell r="K241">
            <v>0</v>
          </cell>
        </row>
        <row r="242">
          <cell r="B242" t="str">
            <v>210-900-900</v>
          </cell>
          <cell r="C242" t="str">
            <v>Liability</v>
          </cell>
          <cell r="D242" t="str">
            <v>Allowance - Other</v>
          </cell>
          <cell r="E242" t="str">
            <v>2022</v>
          </cell>
          <cell r="F242">
            <v>0</v>
          </cell>
          <cell r="G242">
            <v>0</v>
          </cell>
          <cell r="H242">
            <v>0</v>
          </cell>
          <cell r="I242">
            <v>44926</v>
          </cell>
          <cell r="J242">
            <v>0</v>
          </cell>
          <cell r="K242">
            <v>0</v>
          </cell>
        </row>
        <row r="243">
          <cell r="B243" t="str">
            <v>300-100-050</v>
          </cell>
          <cell r="C243" t="str">
            <v>Surplus</v>
          </cell>
          <cell r="D243" t="str">
            <v>EQUITY</v>
          </cell>
          <cell r="E243" t="str">
            <v>2022</v>
          </cell>
          <cell r="F243">
            <v>0</v>
          </cell>
          <cell r="G243">
            <v>0</v>
          </cell>
          <cell r="H243">
            <v>0</v>
          </cell>
          <cell r="I243">
            <v>44926</v>
          </cell>
          <cell r="J243">
            <v>0</v>
          </cell>
          <cell r="K243">
            <v>0</v>
          </cell>
        </row>
        <row r="244">
          <cell r="B244" t="str">
            <v>3000-584410</v>
          </cell>
          <cell r="C244" t="str">
            <v>Expenditure</v>
          </cell>
          <cell r="D244" t="str">
            <v xml:space="preserve">Bank &amp; Service Charges                  </v>
          </cell>
          <cell r="E244" t="str">
            <v>2022</v>
          </cell>
          <cell r="F244">
            <v>0</v>
          </cell>
          <cell r="G244">
            <v>0</v>
          </cell>
          <cell r="H244">
            <v>0</v>
          </cell>
          <cell r="I244">
            <v>44926</v>
          </cell>
          <cell r="J244">
            <v>0</v>
          </cell>
          <cell r="K244">
            <v>0</v>
          </cell>
        </row>
        <row r="245">
          <cell r="B245" t="str">
            <v>310-100-100</v>
          </cell>
          <cell r="C245" t="str">
            <v>Surplus</v>
          </cell>
          <cell r="D245" t="str">
            <v>Appropriated Reserves - General Admin</v>
          </cell>
          <cell r="E245" t="str">
            <v>2022</v>
          </cell>
          <cell r="F245">
            <v>0</v>
          </cell>
          <cell r="G245">
            <v>0</v>
          </cell>
          <cell r="H245">
            <v>-5890.68</v>
          </cell>
          <cell r="I245">
            <v>44926</v>
          </cell>
          <cell r="J245">
            <v>6521.34</v>
          </cell>
          <cell r="K245">
            <v>1458.8</v>
          </cell>
        </row>
        <row r="246">
          <cell r="B246" t="str">
            <v>310-100-105</v>
          </cell>
          <cell r="C246" t="str">
            <v>Surplus</v>
          </cell>
          <cell r="D246" t="str">
            <v>Appropriated Reserves - Asset Management</v>
          </cell>
          <cell r="E246" t="str">
            <v>2022</v>
          </cell>
          <cell r="F246">
            <v>0</v>
          </cell>
          <cell r="G246">
            <v>0</v>
          </cell>
          <cell r="H246">
            <v>-14358.65</v>
          </cell>
          <cell r="I246">
            <v>44926</v>
          </cell>
          <cell r="J246">
            <v>28657.03</v>
          </cell>
          <cell r="K246">
            <v>0</v>
          </cell>
        </row>
        <row r="247">
          <cell r="B247" t="str">
            <v>310-100-110</v>
          </cell>
          <cell r="C247" t="str">
            <v>Surplus</v>
          </cell>
          <cell r="D247" t="str">
            <v xml:space="preserve">Appropriated Reserves - Legal Fees      </v>
          </cell>
          <cell r="E247" t="str">
            <v>2022</v>
          </cell>
          <cell r="F247">
            <v>0</v>
          </cell>
          <cell r="G247">
            <v>0</v>
          </cell>
          <cell r="H247">
            <v>0</v>
          </cell>
          <cell r="I247">
            <v>44926</v>
          </cell>
          <cell r="J247">
            <v>0</v>
          </cell>
          <cell r="K247">
            <v>0</v>
          </cell>
        </row>
        <row r="248">
          <cell r="B248" t="str">
            <v>310-100-115</v>
          </cell>
          <cell r="C248" t="str">
            <v>Surplus</v>
          </cell>
          <cell r="D248" t="str">
            <v>Appropriated Reserves - Rec Centre</v>
          </cell>
          <cell r="E248" t="str">
            <v>2022</v>
          </cell>
          <cell r="F248">
            <v>0</v>
          </cell>
          <cell r="G248">
            <v>0</v>
          </cell>
          <cell r="H248">
            <v>103656.08</v>
          </cell>
          <cell r="I248">
            <v>44926</v>
          </cell>
          <cell r="J248">
            <v>32018.99</v>
          </cell>
          <cell r="K248">
            <v>40000</v>
          </cell>
        </row>
        <row r="249">
          <cell r="B249" t="str">
            <v>310-100-120</v>
          </cell>
          <cell r="C249" t="str">
            <v>Surplus</v>
          </cell>
          <cell r="D249" t="str">
            <v>Appropriated Reserves - Swimming Pool</v>
          </cell>
          <cell r="E249" t="str">
            <v>2022</v>
          </cell>
          <cell r="F249">
            <v>0</v>
          </cell>
          <cell r="G249">
            <v>0</v>
          </cell>
          <cell r="H249">
            <v>32645</v>
          </cell>
          <cell r="I249">
            <v>44926</v>
          </cell>
          <cell r="J249">
            <v>76510.36</v>
          </cell>
          <cell r="K249">
            <v>10000</v>
          </cell>
        </row>
        <row r="250">
          <cell r="B250" t="str">
            <v>310-100-125</v>
          </cell>
          <cell r="C250" t="str">
            <v>Surplus</v>
          </cell>
          <cell r="D250" t="str">
            <v>Appropriated Reserves - Fire Service/EMO</v>
          </cell>
          <cell r="E250" t="str">
            <v>2022</v>
          </cell>
          <cell r="F250">
            <v>0</v>
          </cell>
          <cell r="G250">
            <v>0</v>
          </cell>
          <cell r="H250">
            <v>-12212.5</v>
          </cell>
          <cell r="I250">
            <v>44926</v>
          </cell>
          <cell r="J250">
            <v>13000</v>
          </cell>
          <cell r="K250">
            <v>13000</v>
          </cell>
        </row>
        <row r="251">
          <cell r="B251" t="str">
            <v>310-100-130</v>
          </cell>
          <cell r="C251" t="str">
            <v>Surplus</v>
          </cell>
          <cell r="D251" t="str">
            <v>Appropriated Reserves - Museum</v>
          </cell>
          <cell r="E251" t="str">
            <v>2022</v>
          </cell>
          <cell r="F251">
            <v>0</v>
          </cell>
          <cell r="G251">
            <v>0</v>
          </cell>
          <cell r="H251">
            <v>0</v>
          </cell>
          <cell r="I251">
            <v>44926</v>
          </cell>
          <cell r="J251">
            <v>0</v>
          </cell>
          <cell r="K251">
            <v>4108.8</v>
          </cell>
        </row>
        <row r="252">
          <cell r="B252" t="str">
            <v>310-100-135</v>
          </cell>
          <cell r="C252" t="str">
            <v>Surplus</v>
          </cell>
          <cell r="D252" t="str">
            <v xml:space="preserve">Appropriated Reserves - Cemetery        </v>
          </cell>
          <cell r="E252" t="str">
            <v>2022</v>
          </cell>
          <cell r="F252">
            <v>0</v>
          </cell>
          <cell r="G252">
            <v>0</v>
          </cell>
          <cell r="H252">
            <v>5175</v>
          </cell>
          <cell r="I252">
            <v>44926</v>
          </cell>
          <cell r="J252">
            <v>-11800</v>
          </cell>
          <cell r="K252">
            <v>-8100</v>
          </cell>
        </row>
        <row r="253">
          <cell r="B253" t="str">
            <v>310-100-140</v>
          </cell>
          <cell r="C253" t="str">
            <v>Surplus</v>
          </cell>
          <cell r="D253" t="str">
            <v>Appropriated Reserves - Landfill Site A</v>
          </cell>
          <cell r="E253" t="str">
            <v>2022</v>
          </cell>
          <cell r="F253">
            <v>0</v>
          </cell>
          <cell r="G253">
            <v>0</v>
          </cell>
          <cell r="H253">
            <v>0</v>
          </cell>
          <cell r="I253">
            <v>44926</v>
          </cell>
          <cell r="J253">
            <v>0</v>
          </cell>
          <cell r="K253">
            <v>0</v>
          </cell>
        </row>
        <row r="254">
          <cell r="B254" t="str">
            <v>310-100-145</v>
          </cell>
          <cell r="C254" t="str">
            <v>Surplus</v>
          </cell>
          <cell r="D254" t="str">
            <v>Appropriated Reserves - Recycling/Garbge</v>
          </cell>
          <cell r="E254" t="str">
            <v>2022</v>
          </cell>
          <cell r="F254">
            <v>0</v>
          </cell>
          <cell r="G254">
            <v>0</v>
          </cell>
          <cell r="H254">
            <v>0</v>
          </cell>
          <cell r="I254">
            <v>44926</v>
          </cell>
          <cell r="J254">
            <v>4764.45</v>
          </cell>
          <cell r="K254">
            <v>0</v>
          </cell>
        </row>
        <row r="255">
          <cell r="B255" t="str">
            <v>310-100-150</v>
          </cell>
          <cell r="C255" t="str">
            <v>Surplus</v>
          </cell>
          <cell r="D255" t="str">
            <v>Appropriated Reserves - PW - General</v>
          </cell>
          <cell r="E255" t="str">
            <v>2022</v>
          </cell>
          <cell r="F255">
            <v>0</v>
          </cell>
          <cell r="G255">
            <v>0</v>
          </cell>
          <cell r="H255">
            <v>5757.08</v>
          </cell>
          <cell r="I255">
            <v>44926</v>
          </cell>
          <cell r="J255">
            <v>5889.48</v>
          </cell>
          <cell r="K255">
            <v>7094.04</v>
          </cell>
        </row>
        <row r="256">
          <cell r="B256" t="str">
            <v>310-100-155</v>
          </cell>
          <cell r="C256" t="str">
            <v>Surplus</v>
          </cell>
          <cell r="D256" t="str">
            <v xml:space="preserve">Appropriated Reserves - Water           </v>
          </cell>
          <cell r="E256" t="str">
            <v>2022</v>
          </cell>
          <cell r="F256">
            <v>0</v>
          </cell>
          <cell r="G256">
            <v>0</v>
          </cell>
          <cell r="H256">
            <v>-556824</v>
          </cell>
          <cell r="I256">
            <v>44926</v>
          </cell>
          <cell r="J256">
            <v>357544</v>
          </cell>
          <cell r="K256">
            <v>100000</v>
          </cell>
        </row>
        <row r="257">
          <cell r="B257" t="str">
            <v>310-100-160</v>
          </cell>
          <cell r="C257" t="str">
            <v>Surplus</v>
          </cell>
          <cell r="D257" t="str">
            <v xml:space="preserve">Appropriated Reserves - Waste Water     </v>
          </cell>
          <cell r="E257" t="str">
            <v>2022</v>
          </cell>
          <cell r="F257">
            <v>0</v>
          </cell>
          <cell r="G257">
            <v>0</v>
          </cell>
          <cell r="H257">
            <v>675714</v>
          </cell>
          <cell r="I257">
            <v>44926</v>
          </cell>
          <cell r="J257">
            <v>170000</v>
          </cell>
          <cell r="K257">
            <v>-125329.9</v>
          </cell>
        </row>
        <row r="258">
          <cell r="B258" t="str">
            <v>310-100-165</v>
          </cell>
          <cell r="C258" t="str">
            <v>Surplus</v>
          </cell>
          <cell r="D258" t="str">
            <v>Appropriated Reserves - Transportation</v>
          </cell>
          <cell r="E258" t="str">
            <v>2022</v>
          </cell>
          <cell r="F258">
            <v>0</v>
          </cell>
          <cell r="G258">
            <v>0</v>
          </cell>
          <cell r="H258">
            <v>-96900</v>
          </cell>
          <cell r="I258">
            <v>44926</v>
          </cell>
          <cell r="J258">
            <v>5000</v>
          </cell>
          <cell r="K258">
            <v>20000</v>
          </cell>
        </row>
        <row r="259">
          <cell r="B259" t="str">
            <v>310-100-170</v>
          </cell>
          <cell r="C259" t="str">
            <v>Surplus</v>
          </cell>
          <cell r="D259" t="str">
            <v>Appropriated Reserves - Streets/Roads</v>
          </cell>
          <cell r="E259" t="str">
            <v>2022</v>
          </cell>
          <cell r="F259">
            <v>0</v>
          </cell>
          <cell r="G259">
            <v>0</v>
          </cell>
          <cell r="H259">
            <v>-16092.97</v>
          </cell>
          <cell r="I259">
            <v>44926</v>
          </cell>
          <cell r="J259">
            <v>77000</v>
          </cell>
          <cell r="K259">
            <v>70411.59</v>
          </cell>
        </row>
        <row r="260">
          <cell r="B260" t="str">
            <v>310-100-175</v>
          </cell>
          <cell r="C260" t="str">
            <v>Surplus</v>
          </cell>
          <cell r="D260" t="str">
            <v>Appropriated Reserves - Recreation Prog.</v>
          </cell>
          <cell r="E260" t="str">
            <v>2022</v>
          </cell>
          <cell r="F260">
            <v>0</v>
          </cell>
          <cell r="G260">
            <v>0</v>
          </cell>
          <cell r="H260">
            <v>0</v>
          </cell>
          <cell r="I260">
            <v>44926</v>
          </cell>
          <cell r="J260">
            <v>0</v>
          </cell>
          <cell r="K260">
            <v>4162.55</v>
          </cell>
        </row>
        <row r="261">
          <cell r="B261" t="str">
            <v>310-100-180</v>
          </cell>
          <cell r="C261" t="str">
            <v>Surplus</v>
          </cell>
          <cell r="D261" t="str">
            <v>Appropriated Reserves - Land Development</v>
          </cell>
          <cell r="E261" t="str">
            <v>2022</v>
          </cell>
          <cell r="F261">
            <v>0</v>
          </cell>
          <cell r="G261">
            <v>0</v>
          </cell>
          <cell r="H261">
            <v>118230</v>
          </cell>
          <cell r="I261">
            <v>44926</v>
          </cell>
          <cell r="J261">
            <v>0</v>
          </cell>
          <cell r="K261">
            <v>0</v>
          </cell>
        </row>
        <row r="262">
          <cell r="B262" t="str">
            <v>310-100-185</v>
          </cell>
          <cell r="C262" t="str">
            <v>Surplus</v>
          </cell>
          <cell r="D262" t="str">
            <v xml:space="preserve">Appropriated Reserves - Hospital        </v>
          </cell>
          <cell r="E262" t="str">
            <v>2022</v>
          </cell>
          <cell r="F262">
            <v>0</v>
          </cell>
          <cell r="G262">
            <v>0</v>
          </cell>
          <cell r="H262">
            <v>20000</v>
          </cell>
          <cell r="I262">
            <v>44926</v>
          </cell>
          <cell r="J262">
            <v>20000</v>
          </cell>
          <cell r="K262">
            <v>0</v>
          </cell>
        </row>
        <row r="263">
          <cell r="B263" t="str">
            <v>310-100-190</v>
          </cell>
          <cell r="C263" t="str">
            <v>Surplus</v>
          </cell>
          <cell r="D263" t="str">
            <v xml:space="preserve">Appropriated Reserves - Dedicated Lands </v>
          </cell>
          <cell r="E263" t="str">
            <v>2022</v>
          </cell>
          <cell r="F263">
            <v>0</v>
          </cell>
          <cell r="G263">
            <v>0</v>
          </cell>
          <cell r="H263">
            <v>344.7</v>
          </cell>
          <cell r="I263">
            <v>44926</v>
          </cell>
          <cell r="J263">
            <v>0</v>
          </cell>
          <cell r="K263">
            <v>0</v>
          </cell>
        </row>
        <row r="264">
          <cell r="B264" t="str">
            <v>310-100-195</v>
          </cell>
          <cell r="C264" t="str">
            <v>Surplus</v>
          </cell>
          <cell r="D264" t="str">
            <v>Appropriated Reserves - Dog Park</v>
          </cell>
          <cell r="E264" t="str">
            <v>2022</v>
          </cell>
          <cell r="F264">
            <v>0</v>
          </cell>
          <cell r="G264">
            <v>0</v>
          </cell>
          <cell r="H264">
            <v>0</v>
          </cell>
          <cell r="I264">
            <v>44926</v>
          </cell>
          <cell r="J264">
            <v>6181.27</v>
          </cell>
          <cell r="K264">
            <v>0</v>
          </cell>
        </row>
        <row r="265">
          <cell r="B265" t="str">
            <v>310-100-200</v>
          </cell>
          <cell r="C265" t="str">
            <v>Surplus</v>
          </cell>
          <cell r="D265" t="str">
            <v>Appropriated Reserves - Local Improvmnts</v>
          </cell>
          <cell r="E265" t="str">
            <v>2022</v>
          </cell>
          <cell r="F265">
            <v>0</v>
          </cell>
          <cell r="G265">
            <v>0</v>
          </cell>
          <cell r="H265">
            <v>25000</v>
          </cell>
          <cell r="I265">
            <v>44926</v>
          </cell>
          <cell r="J265">
            <v>25000</v>
          </cell>
          <cell r="K265">
            <v>0</v>
          </cell>
        </row>
        <row r="266">
          <cell r="B266" t="str">
            <v>310-100-205</v>
          </cell>
          <cell r="C266" t="str">
            <v>Surplus</v>
          </cell>
          <cell r="D266" t="str">
            <v>Appropriated Reserves - Lotteries Grant</v>
          </cell>
          <cell r="E266" t="str">
            <v>2022</v>
          </cell>
          <cell r="F266">
            <v>0</v>
          </cell>
          <cell r="G266">
            <v>0</v>
          </cell>
          <cell r="H266">
            <v>-3660</v>
          </cell>
          <cell r="I266">
            <v>44926</v>
          </cell>
          <cell r="J266">
            <v>3660</v>
          </cell>
        </row>
        <row r="267">
          <cell r="B267" t="str">
            <v>310-100-210</v>
          </cell>
          <cell r="C267" t="str">
            <v>Surplus</v>
          </cell>
          <cell r="D267" t="str">
            <v>Appropriated Reserves - PW Build. Maint</v>
          </cell>
          <cell r="E267" t="str">
            <v>2022</v>
          </cell>
          <cell r="F267">
            <v>0</v>
          </cell>
          <cell r="G267">
            <v>0</v>
          </cell>
          <cell r="H267">
            <v>0</v>
          </cell>
          <cell r="I267">
            <v>44926</v>
          </cell>
          <cell r="J267">
            <v>12000</v>
          </cell>
        </row>
        <row r="268">
          <cell r="B268" t="str">
            <v>310-100-300</v>
          </cell>
          <cell r="C268" t="str">
            <v>Surplus</v>
          </cell>
          <cell r="D268" t="str">
            <v>Reserve - #2</v>
          </cell>
          <cell r="E268" t="str">
            <v>2022</v>
          </cell>
          <cell r="F268">
            <v>0</v>
          </cell>
          <cell r="G268">
            <v>0</v>
          </cell>
          <cell r="H268">
            <v>0</v>
          </cell>
          <cell r="I268">
            <v>44926</v>
          </cell>
          <cell r="J268">
            <v>0</v>
          </cell>
          <cell r="K268">
            <v>0</v>
          </cell>
        </row>
        <row r="269">
          <cell r="B269" t="str">
            <v>310-100-400</v>
          </cell>
          <cell r="C269" t="str">
            <v>Surplus</v>
          </cell>
          <cell r="D269" t="str">
            <v>Reserve - #3</v>
          </cell>
          <cell r="E269" t="str">
            <v>2022</v>
          </cell>
          <cell r="F269">
            <v>0</v>
          </cell>
          <cell r="G269">
            <v>0</v>
          </cell>
          <cell r="H269">
            <v>0</v>
          </cell>
          <cell r="I269">
            <v>44926</v>
          </cell>
          <cell r="J269">
            <v>0</v>
          </cell>
          <cell r="K269">
            <v>0</v>
          </cell>
        </row>
        <row r="270">
          <cell r="B270" t="str">
            <v>310-100-500</v>
          </cell>
          <cell r="C270" t="str">
            <v>Surplus</v>
          </cell>
          <cell r="D270" t="str">
            <v>Reserve - #4</v>
          </cell>
          <cell r="E270" t="str">
            <v>2022</v>
          </cell>
          <cell r="F270">
            <v>0</v>
          </cell>
          <cell r="G270">
            <v>0</v>
          </cell>
          <cell r="H270">
            <v>0</v>
          </cell>
          <cell r="I270">
            <v>44926</v>
          </cell>
          <cell r="J270">
            <v>0</v>
          </cell>
          <cell r="K270">
            <v>0</v>
          </cell>
        </row>
        <row r="271">
          <cell r="B271" t="str">
            <v>310-100-600</v>
          </cell>
          <cell r="C271" t="str">
            <v>Surplus</v>
          </cell>
          <cell r="D271" t="str">
            <v>Reserve - #5</v>
          </cell>
          <cell r="E271" t="str">
            <v>2022</v>
          </cell>
          <cell r="F271">
            <v>0</v>
          </cell>
          <cell r="G271">
            <v>0</v>
          </cell>
          <cell r="H271">
            <v>0</v>
          </cell>
          <cell r="I271">
            <v>44926</v>
          </cell>
          <cell r="J271">
            <v>0</v>
          </cell>
          <cell r="K271">
            <v>0</v>
          </cell>
        </row>
        <row r="272">
          <cell r="B272" t="str">
            <v>310-100-700</v>
          </cell>
          <cell r="C272" t="str">
            <v>Surplus</v>
          </cell>
          <cell r="D272" t="str">
            <v>Reserve - #6</v>
          </cell>
          <cell r="E272" t="str">
            <v>2022</v>
          </cell>
          <cell r="F272">
            <v>0</v>
          </cell>
          <cell r="G272">
            <v>0</v>
          </cell>
          <cell r="H272">
            <v>0</v>
          </cell>
          <cell r="I272">
            <v>44926</v>
          </cell>
          <cell r="J272">
            <v>0</v>
          </cell>
          <cell r="K272">
            <v>0</v>
          </cell>
        </row>
        <row r="273">
          <cell r="B273" t="str">
            <v>350-900-050</v>
          </cell>
          <cell r="C273" t="str">
            <v>Surplus</v>
          </cell>
          <cell r="D273" t="str">
            <v>AMTS TO BE RECOVERED FROM FUTURE REVENUE</v>
          </cell>
          <cell r="E273" t="str">
            <v>2022</v>
          </cell>
          <cell r="F273">
            <v>0</v>
          </cell>
          <cell r="G273">
            <v>0</v>
          </cell>
          <cell r="H273">
            <v>0</v>
          </cell>
          <cell r="I273">
            <v>44926</v>
          </cell>
          <cell r="J273">
            <v>0</v>
          </cell>
          <cell r="K273">
            <v>0</v>
          </cell>
        </row>
        <row r="274">
          <cell r="B274" t="str">
            <v>350-900-100</v>
          </cell>
          <cell r="C274" t="str">
            <v>Surplus</v>
          </cell>
          <cell r="D274" t="str">
            <v>Capital Expenditures Financed by Loans</v>
          </cell>
          <cell r="E274" t="str">
            <v>2022</v>
          </cell>
          <cell r="F274">
            <v>0</v>
          </cell>
          <cell r="G274">
            <v>0</v>
          </cell>
          <cell r="H274">
            <v>0</v>
          </cell>
          <cell r="I274">
            <v>44926</v>
          </cell>
          <cell r="J274">
            <v>0</v>
          </cell>
          <cell r="K274">
            <v>0</v>
          </cell>
        </row>
        <row r="275">
          <cell r="B275" t="str">
            <v>350-900-200</v>
          </cell>
          <cell r="C275" t="str">
            <v>Surplus</v>
          </cell>
          <cell r="D275" t="str">
            <v>Unfunded Operating Expenditures</v>
          </cell>
          <cell r="E275" t="str">
            <v>2022</v>
          </cell>
          <cell r="F275">
            <v>0</v>
          </cell>
          <cell r="G275">
            <v>0</v>
          </cell>
          <cell r="H275">
            <v>0</v>
          </cell>
          <cell r="I275">
            <v>44926</v>
          </cell>
          <cell r="J275">
            <v>0</v>
          </cell>
          <cell r="K275">
            <v>0</v>
          </cell>
        </row>
        <row r="276">
          <cell r="B276" t="str">
            <v>390-900-050</v>
          </cell>
          <cell r="C276" t="str">
            <v>Surplus</v>
          </cell>
          <cell r="D276" t="str">
            <v>SURPLUS</v>
          </cell>
          <cell r="E276" t="str">
            <v>2022</v>
          </cell>
          <cell r="F276">
            <v>0</v>
          </cell>
          <cell r="G276">
            <v>0</v>
          </cell>
          <cell r="H276">
            <v>0</v>
          </cell>
          <cell r="I276">
            <v>44926</v>
          </cell>
          <cell r="J276">
            <v>0</v>
          </cell>
          <cell r="K276">
            <v>0</v>
          </cell>
        </row>
        <row r="277">
          <cell r="B277" t="str">
            <v>390-900-900</v>
          </cell>
          <cell r="C277" t="str">
            <v>Surplus</v>
          </cell>
          <cell r="D277" t="str">
            <v>Operating Fund - Surplus</v>
          </cell>
          <cell r="E277" t="str">
            <v>2022</v>
          </cell>
          <cell r="F277">
            <v>0</v>
          </cell>
          <cell r="G277">
            <v>0</v>
          </cell>
          <cell r="H277">
            <v>0</v>
          </cell>
          <cell r="I277">
            <v>44926</v>
          </cell>
          <cell r="J277">
            <v>5766.65</v>
          </cell>
          <cell r="K277">
            <v>0</v>
          </cell>
        </row>
        <row r="278">
          <cell r="B278" t="str">
            <v>390-900-910</v>
          </cell>
          <cell r="C278" t="str">
            <v>Surplus</v>
          </cell>
          <cell r="D278" t="str">
            <v>Current Year's Surplus</v>
          </cell>
          <cell r="E278" t="str">
            <v>2022</v>
          </cell>
          <cell r="F278">
            <v>0</v>
          </cell>
          <cell r="G278">
            <v>0</v>
          </cell>
          <cell r="H278">
            <v>0</v>
          </cell>
          <cell r="I278">
            <v>44926</v>
          </cell>
          <cell r="J278">
            <v>0</v>
          </cell>
          <cell r="K278">
            <v>0</v>
          </cell>
        </row>
        <row r="279">
          <cell r="B279" t="str">
            <v>400-100-050</v>
          </cell>
          <cell r="C279" t="str">
            <v>Revenue</v>
          </cell>
          <cell r="D279" t="str">
            <v>REVENUE</v>
          </cell>
          <cell r="E279" t="str">
            <v>2022</v>
          </cell>
          <cell r="F279">
            <v>0</v>
          </cell>
          <cell r="G279">
            <v>0</v>
          </cell>
          <cell r="H279">
            <v>0</v>
          </cell>
          <cell r="I279">
            <v>44926</v>
          </cell>
          <cell r="J279">
            <v>0</v>
          </cell>
          <cell r="K279">
            <v>0</v>
          </cell>
        </row>
        <row r="280">
          <cell r="B280" t="str">
            <v>410-110-050</v>
          </cell>
          <cell r="C280" t="str">
            <v>Revenue</v>
          </cell>
          <cell r="D280" t="str">
            <v>TAXES</v>
          </cell>
          <cell r="E280" t="str">
            <v>2022</v>
          </cell>
          <cell r="F280">
            <v>0</v>
          </cell>
          <cell r="G280">
            <v>0</v>
          </cell>
          <cell r="H280">
            <v>0</v>
          </cell>
          <cell r="I280">
            <v>44926</v>
          </cell>
          <cell r="J280">
            <v>0</v>
          </cell>
          <cell r="K280">
            <v>0</v>
          </cell>
        </row>
        <row r="281">
          <cell r="B281" t="str">
            <v>410-110-100</v>
          </cell>
          <cell r="C281" t="str">
            <v>Revenue</v>
          </cell>
          <cell r="D281" t="str">
            <v>General Municipal Levy</v>
          </cell>
          <cell r="E281" t="str">
            <v>2022</v>
          </cell>
          <cell r="F281">
            <v>1607355.06</v>
          </cell>
          <cell r="G281">
            <v>1607355.06</v>
          </cell>
          <cell r="H281">
            <v>1536499.75</v>
          </cell>
          <cell r="I281">
            <v>44926</v>
          </cell>
          <cell r="J281">
            <v>1540045.85</v>
          </cell>
          <cell r="K281">
            <v>1527239.39</v>
          </cell>
        </row>
        <row r="282">
          <cell r="B282" t="str">
            <v>410-120-100</v>
          </cell>
          <cell r="C282" t="str">
            <v>Revenue</v>
          </cell>
          <cell r="D282" t="str">
            <v>Property Tax Abatements &amp; Adjustments</v>
          </cell>
          <cell r="E282" t="str">
            <v>2022</v>
          </cell>
          <cell r="F282">
            <v>-17516.97</v>
          </cell>
          <cell r="G282">
            <v>-17516.97</v>
          </cell>
          <cell r="H282">
            <v>-64078.63</v>
          </cell>
          <cell r="I282">
            <v>44926</v>
          </cell>
          <cell r="J282">
            <v>-38665.5</v>
          </cell>
          <cell r="K282">
            <v>-24413.11</v>
          </cell>
        </row>
        <row r="283">
          <cell r="B283" t="str">
            <v>410-130-100</v>
          </cell>
          <cell r="C283" t="str">
            <v>Revenue</v>
          </cell>
          <cell r="D283" t="str">
            <v>Discount on Municipal Tax - Property</v>
          </cell>
          <cell r="E283" t="str">
            <v>2022</v>
          </cell>
          <cell r="F283">
            <v>-80055.820000000007</v>
          </cell>
          <cell r="G283">
            <v>-80055.820000000007</v>
          </cell>
          <cell r="H283">
            <v>-79145.75</v>
          </cell>
          <cell r="I283">
            <v>44926</v>
          </cell>
          <cell r="J283">
            <v>-74818.39</v>
          </cell>
          <cell r="K283">
            <v>-69771.98</v>
          </cell>
        </row>
        <row r="284">
          <cell r="B284" t="str">
            <v>410-130-190</v>
          </cell>
          <cell r="C284" t="str">
            <v>Revenue</v>
          </cell>
          <cell r="D284" t="str">
            <v>Discount on Municipal Tax - Other</v>
          </cell>
          <cell r="E284" t="str">
            <v>2022</v>
          </cell>
          <cell r="F284">
            <v>0</v>
          </cell>
          <cell r="G284">
            <v>0</v>
          </cell>
          <cell r="H284">
            <v>0</v>
          </cell>
          <cell r="I284">
            <v>44926</v>
          </cell>
          <cell r="J284">
            <v>0</v>
          </cell>
          <cell r="K284">
            <v>0</v>
          </cell>
        </row>
        <row r="285">
          <cell r="B285" t="str">
            <v>410-130-191</v>
          </cell>
          <cell r="C285" t="str">
            <v>Revenue</v>
          </cell>
          <cell r="D285" t="str">
            <v>Discount on Hospital Tax</v>
          </cell>
          <cell r="E285" t="str">
            <v>2022</v>
          </cell>
          <cell r="F285">
            <v>0</v>
          </cell>
          <cell r="G285">
            <v>0</v>
          </cell>
          <cell r="H285">
            <v>0</v>
          </cell>
          <cell r="I285">
            <v>44926</v>
          </cell>
          <cell r="J285">
            <v>0</v>
          </cell>
          <cell r="K285">
            <v>0</v>
          </cell>
        </row>
        <row r="286">
          <cell r="B286" t="str">
            <v>410-200-100</v>
          </cell>
          <cell r="C286" t="str">
            <v>Revenue</v>
          </cell>
          <cell r="D286" t="str">
            <v>Potash Tax Share</v>
          </cell>
          <cell r="E286" t="str">
            <v>2022</v>
          </cell>
          <cell r="F286">
            <v>0</v>
          </cell>
          <cell r="G286">
            <v>0</v>
          </cell>
          <cell r="H286">
            <v>0</v>
          </cell>
          <cell r="I286">
            <v>44926</v>
          </cell>
          <cell r="J286">
            <v>0</v>
          </cell>
          <cell r="K286">
            <v>0</v>
          </cell>
        </row>
        <row r="287">
          <cell r="B287" t="str">
            <v>410-300-100</v>
          </cell>
          <cell r="C287" t="str">
            <v>Revenue</v>
          </cell>
          <cell r="D287" t="str">
            <v>Trailer License Fees</v>
          </cell>
          <cell r="E287" t="str">
            <v>2022</v>
          </cell>
          <cell r="F287">
            <v>500</v>
          </cell>
          <cell r="G287">
            <v>500</v>
          </cell>
          <cell r="H287">
            <v>0</v>
          </cell>
          <cell r="I287">
            <v>44926</v>
          </cell>
          <cell r="J287">
            <v>0</v>
          </cell>
          <cell r="K287">
            <v>0</v>
          </cell>
        </row>
        <row r="288">
          <cell r="B288" t="str">
            <v>410-400-110</v>
          </cell>
          <cell r="C288" t="str">
            <v>Revenue</v>
          </cell>
          <cell r="D288" t="str">
            <v>Penalty on Mun Taxes Current - Property</v>
          </cell>
          <cell r="E288" t="str">
            <v>2022</v>
          </cell>
          <cell r="F288">
            <v>0</v>
          </cell>
          <cell r="G288">
            <v>0</v>
          </cell>
          <cell r="H288">
            <v>0</v>
          </cell>
          <cell r="I288">
            <v>44926</v>
          </cell>
          <cell r="J288">
            <v>0</v>
          </cell>
          <cell r="K288">
            <v>0</v>
          </cell>
        </row>
        <row r="289">
          <cell r="B289" t="str">
            <v>410-400-190</v>
          </cell>
          <cell r="C289" t="str">
            <v>Revenue</v>
          </cell>
          <cell r="D289" t="str">
            <v>Penalty on Mun Taxes Current - Other</v>
          </cell>
          <cell r="E289" t="str">
            <v>2022</v>
          </cell>
          <cell r="F289">
            <v>0</v>
          </cell>
          <cell r="G289">
            <v>0</v>
          </cell>
          <cell r="H289">
            <v>0</v>
          </cell>
          <cell r="I289">
            <v>44926</v>
          </cell>
          <cell r="J289">
            <v>0</v>
          </cell>
          <cell r="K289">
            <v>0</v>
          </cell>
        </row>
        <row r="290">
          <cell r="B290" t="str">
            <v>410-400-210</v>
          </cell>
          <cell r="C290" t="str">
            <v>Revenue</v>
          </cell>
          <cell r="D290" t="str">
            <v>Penalty on Mun Taxes Arrears - Property</v>
          </cell>
          <cell r="E290" t="str">
            <v>2022</v>
          </cell>
          <cell r="F290">
            <v>13916.49</v>
          </cell>
          <cell r="G290">
            <v>13916.49</v>
          </cell>
          <cell r="H290">
            <v>57742.64</v>
          </cell>
          <cell r="I290">
            <v>44926</v>
          </cell>
          <cell r="J290">
            <v>49176.33</v>
          </cell>
          <cell r="K290">
            <v>47669.29</v>
          </cell>
        </row>
        <row r="291">
          <cell r="B291" t="str">
            <v>410-400-290</v>
          </cell>
          <cell r="C291" t="str">
            <v>Revenue</v>
          </cell>
          <cell r="D291" t="str">
            <v>Penalty on Mun Taxes Arrears - Other</v>
          </cell>
          <cell r="E291" t="str">
            <v>2022</v>
          </cell>
          <cell r="F291">
            <v>0</v>
          </cell>
          <cell r="G291">
            <v>0</v>
          </cell>
          <cell r="H291">
            <v>0</v>
          </cell>
          <cell r="I291">
            <v>44926</v>
          </cell>
          <cell r="J291">
            <v>0</v>
          </cell>
          <cell r="K291">
            <v>0</v>
          </cell>
        </row>
        <row r="292">
          <cell r="B292" t="str">
            <v>410-500-100</v>
          </cell>
          <cell r="C292" t="str">
            <v>Revenue</v>
          </cell>
          <cell r="D292" t="str">
            <v>Local Impr Levy - Reconstruction</v>
          </cell>
          <cell r="E292" t="str">
            <v>2022</v>
          </cell>
          <cell r="F292">
            <v>0</v>
          </cell>
          <cell r="G292">
            <v>0</v>
          </cell>
          <cell r="H292">
            <v>0</v>
          </cell>
          <cell r="I292">
            <v>44926</v>
          </cell>
          <cell r="J292">
            <v>0</v>
          </cell>
          <cell r="K292">
            <v>0</v>
          </cell>
        </row>
        <row r="293">
          <cell r="B293" t="str">
            <v>410-510-100</v>
          </cell>
          <cell r="C293" t="str">
            <v>Revenue</v>
          </cell>
          <cell r="D293" t="str">
            <v>Local Impr Levy - Water &amp; Sewer</v>
          </cell>
          <cell r="E293" t="str">
            <v>2022</v>
          </cell>
          <cell r="F293">
            <v>0</v>
          </cell>
          <cell r="G293">
            <v>0</v>
          </cell>
          <cell r="H293">
            <v>0</v>
          </cell>
          <cell r="I293">
            <v>44926</v>
          </cell>
          <cell r="J293">
            <v>0</v>
          </cell>
          <cell r="K293">
            <v>0</v>
          </cell>
        </row>
        <row r="294">
          <cell r="B294" t="str">
            <v>410-900-100</v>
          </cell>
          <cell r="C294" t="str">
            <v>Revenue</v>
          </cell>
          <cell r="D294" t="str">
            <v>Other</v>
          </cell>
          <cell r="E294" t="str">
            <v>2022</v>
          </cell>
          <cell r="F294">
            <v>0</v>
          </cell>
          <cell r="G294">
            <v>0</v>
          </cell>
          <cell r="H294">
            <v>0</v>
          </cell>
          <cell r="I294">
            <v>44926</v>
          </cell>
          <cell r="J294">
            <v>0</v>
          </cell>
          <cell r="K294">
            <v>0</v>
          </cell>
        </row>
        <row r="295">
          <cell r="B295" t="str">
            <v>420-100-050</v>
          </cell>
          <cell r="C295" t="str">
            <v>Revenue</v>
          </cell>
          <cell r="D295" t="str">
            <v>FEES AND CHARGES</v>
          </cell>
          <cell r="E295" t="str">
            <v>2022</v>
          </cell>
          <cell r="F295">
            <v>0</v>
          </cell>
          <cell r="G295">
            <v>0</v>
          </cell>
          <cell r="H295">
            <v>0</v>
          </cell>
          <cell r="I295">
            <v>44926</v>
          </cell>
          <cell r="J295">
            <v>0</v>
          </cell>
          <cell r="K295">
            <v>0</v>
          </cell>
        </row>
        <row r="296">
          <cell r="B296" t="str">
            <v>420-100-100</v>
          </cell>
          <cell r="C296" t="str">
            <v>Revenue</v>
          </cell>
          <cell r="D296" t="str">
            <v>F&amp;C - Custom Work - PW</v>
          </cell>
          <cell r="E296" t="str">
            <v>2022</v>
          </cell>
          <cell r="F296">
            <v>2950</v>
          </cell>
          <cell r="G296">
            <v>2950</v>
          </cell>
          <cell r="H296">
            <v>7000</v>
          </cell>
          <cell r="I296">
            <v>44926</v>
          </cell>
          <cell r="J296">
            <v>2340</v>
          </cell>
          <cell r="K296">
            <v>1780</v>
          </cell>
        </row>
        <row r="297">
          <cell r="B297" t="str">
            <v>420-100-110</v>
          </cell>
          <cell r="C297" t="str">
            <v>Revenue</v>
          </cell>
          <cell r="D297" t="str">
            <v>F&amp;C - Custom Work - Snow Removal</v>
          </cell>
          <cell r="E297" t="str">
            <v>2022</v>
          </cell>
          <cell r="F297">
            <v>0</v>
          </cell>
          <cell r="G297">
            <v>0</v>
          </cell>
          <cell r="H297">
            <v>0</v>
          </cell>
          <cell r="I297">
            <v>44926</v>
          </cell>
          <cell r="J297">
            <v>0</v>
          </cell>
          <cell r="K297">
            <v>0</v>
          </cell>
        </row>
        <row r="298">
          <cell r="B298" t="str">
            <v>420-100-120</v>
          </cell>
          <cell r="C298" t="str">
            <v>Revenue</v>
          </cell>
          <cell r="D298" t="str">
            <v>F&amp;C - Custom Work - Mowing</v>
          </cell>
          <cell r="E298" t="str">
            <v>2022</v>
          </cell>
          <cell r="F298">
            <v>0</v>
          </cell>
          <cell r="G298">
            <v>0</v>
          </cell>
          <cell r="H298">
            <v>4906.33</v>
          </cell>
          <cell r="I298">
            <v>44926</v>
          </cell>
          <cell r="J298">
            <v>9379.84</v>
          </cell>
          <cell r="K298">
            <v>15920</v>
          </cell>
        </row>
        <row r="299">
          <cell r="B299" t="str">
            <v>420-100-130</v>
          </cell>
          <cell r="C299" t="str">
            <v>Revenue</v>
          </cell>
          <cell r="D299" t="str">
            <v>F&amp;C - Custom Work - Tax Enforcement</v>
          </cell>
          <cell r="E299" t="str">
            <v>2022</v>
          </cell>
          <cell r="F299">
            <v>0</v>
          </cell>
          <cell r="G299">
            <v>0</v>
          </cell>
          <cell r="H299">
            <v>0</v>
          </cell>
          <cell r="I299">
            <v>44926</v>
          </cell>
          <cell r="J299">
            <v>0</v>
          </cell>
          <cell r="K299">
            <v>0</v>
          </cell>
        </row>
        <row r="300">
          <cell r="B300" t="str">
            <v>420-200-100</v>
          </cell>
          <cell r="C300" t="str">
            <v>Revenue</v>
          </cell>
          <cell r="D300" t="str">
            <v>F&amp;C - Sale of Gravel</v>
          </cell>
          <cell r="E300" t="str">
            <v>2022</v>
          </cell>
          <cell r="F300">
            <v>0</v>
          </cell>
          <cell r="G300">
            <v>0</v>
          </cell>
          <cell r="H300">
            <v>0</v>
          </cell>
          <cell r="I300">
            <v>44926</v>
          </cell>
          <cell r="J300">
            <v>0</v>
          </cell>
          <cell r="K300">
            <v>0</v>
          </cell>
        </row>
        <row r="301">
          <cell r="B301" t="str">
            <v>420-200-200</v>
          </cell>
          <cell r="C301" t="str">
            <v>Revenue</v>
          </cell>
          <cell r="D301" t="str">
            <v>F&amp;C - Sale of Supplies - Office</v>
          </cell>
          <cell r="E301" t="str">
            <v>2022</v>
          </cell>
          <cell r="F301">
            <v>10</v>
          </cell>
          <cell r="G301">
            <v>10</v>
          </cell>
          <cell r="H301">
            <v>45</v>
          </cell>
          <cell r="I301">
            <v>44926</v>
          </cell>
          <cell r="J301">
            <v>0</v>
          </cell>
          <cell r="K301">
            <v>73</v>
          </cell>
        </row>
        <row r="302">
          <cell r="B302" t="str">
            <v>420-200-210</v>
          </cell>
          <cell r="C302" t="str">
            <v>Revenue</v>
          </cell>
          <cell r="D302" t="str">
            <v>F&amp;C - Sale of Supplies - Misc.</v>
          </cell>
          <cell r="E302" t="str">
            <v>2022</v>
          </cell>
          <cell r="F302">
            <v>0</v>
          </cell>
          <cell r="G302">
            <v>0</v>
          </cell>
          <cell r="H302">
            <v>0</v>
          </cell>
          <cell r="I302">
            <v>44926</v>
          </cell>
          <cell r="J302">
            <v>0</v>
          </cell>
          <cell r="K302">
            <v>0</v>
          </cell>
        </row>
        <row r="303">
          <cell r="B303" t="str">
            <v>420-200-500</v>
          </cell>
          <cell r="C303" t="str">
            <v>Revenue</v>
          </cell>
          <cell r="D303" t="str">
            <v>F&amp;C - Sale of Supplies &amp; Equip - Rink</v>
          </cell>
          <cell r="E303" t="str">
            <v>2022</v>
          </cell>
          <cell r="F303">
            <v>0</v>
          </cell>
          <cell r="G303">
            <v>0</v>
          </cell>
          <cell r="H303">
            <v>37.5</v>
          </cell>
          <cell r="I303">
            <v>44926</v>
          </cell>
          <cell r="J303">
            <v>20.8</v>
          </cell>
          <cell r="K303">
            <v>5000</v>
          </cell>
        </row>
        <row r="304">
          <cell r="B304" t="str">
            <v>420-200-600</v>
          </cell>
          <cell r="C304" t="str">
            <v>Revenue</v>
          </cell>
          <cell r="D304" t="str">
            <v>F&amp;C - Sale of Supplies &amp; Equip - PW</v>
          </cell>
          <cell r="E304" t="str">
            <v>2022</v>
          </cell>
          <cell r="F304">
            <v>0</v>
          </cell>
          <cell r="G304">
            <v>0</v>
          </cell>
          <cell r="H304">
            <v>0</v>
          </cell>
          <cell r="I304">
            <v>44926</v>
          </cell>
          <cell r="J304">
            <v>200</v>
          </cell>
          <cell r="K304">
            <v>159.80000000000001</v>
          </cell>
        </row>
        <row r="305">
          <cell r="B305" t="str">
            <v>420-200-700</v>
          </cell>
          <cell r="C305" t="str">
            <v>Revenue</v>
          </cell>
          <cell r="D305" t="str">
            <v>F&amp;C - Sale of Supplies &amp; Equip - Transp.</v>
          </cell>
          <cell r="E305" t="str">
            <v>2022</v>
          </cell>
          <cell r="F305">
            <v>0</v>
          </cell>
          <cell r="G305">
            <v>0</v>
          </cell>
          <cell r="H305">
            <v>0</v>
          </cell>
          <cell r="I305">
            <v>44926</v>
          </cell>
          <cell r="J305">
            <v>0</v>
          </cell>
          <cell r="K305">
            <v>0</v>
          </cell>
        </row>
        <row r="306">
          <cell r="B306" t="str">
            <v>420-200-800</v>
          </cell>
          <cell r="C306" t="str">
            <v>Revenue</v>
          </cell>
          <cell r="D306" t="str">
            <v>F&amp;C - Sale of Land</v>
          </cell>
          <cell r="E306" t="str">
            <v>2022</v>
          </cell>
          <cell r="F306">
            <v>0</v>
          </cell>
          <cell r="G306">
            <v>0</v>
          </cell>
          <cell r="H306">
            <v>22777.24</v>
          </cell>
          <cell r="I306">
            <v>44926</v>
          </cell>
          <cell r="J306">
            <v>20153.650000000001</v>
          </cell>
          <cell r="K306">
            <v>6642.34</v>
          </cell>
        </row>
        <row r="307">
          <cell r="B307" t="str">
            <v>420-200-900</v>
          </cell>
          <cell r="C307" t="str">
            <v>Revenue</v>
          </cell>
          <cell r="D307" t="str">
            <v>F&amp;C - Airport Lease Hanger Sites</v>
          </cell>
          <cell r="E307" t="str">
            <v>2022</v>
          </cell>
          <cell r="F307">
            <v>3500</v>
          </cell>
          <cell r="G307">
            <v>3500</v>
          </cell>
          <cell r="H307">
            <v>3500</v>
          </cell>
          <cell r="I307">
            <v>44926</v>
          </cell>
          <cell r="J307">
            <v>3500</v>
          </cell>
          <cell r="K307">
            <v>3710.94</v>
          </cell>
        </row>
        <row r="308">
          <cell r="B308" t="str">
            <v>420-300-100</v>
          </cell>
          <cell r="C308" t="str">
            <v>Revenue</v>
          </cell>
          <cell r="D308" t="str">
            <v>F&amp;C - Rentals &amp; Mobile Home &amp; Lot Leases</v>
          </cell>
          <cell r="E308" t="str">
            <v>2022</v>
          </cell>
          <cell r="F308">
            <v>3120</v>
          </cell>
          <cell r="G308">
            <v>3120</v>
          </cell>
          <cell r="H308">
            <v>5754.89</v>
          </cell>
          <cell r="I308">
            <v>44926</v>
          </cell>
          <cell r="J308">
            <v>5100</v>
          </cell>
          <cell r="K308">
            <v>7700</v>
          </cell>
        </row>
        <row r="309">
          <cell r="B309" t="str">
            <v>420-300-101</v>
          </cell>
          <cell r="C309" t="str">
            <v>Revenue</v>
          </cell>
          <cell r="D309" t="str">
            <v>F&amp;C - Rentals - Post Office</v>
          </cell>
          <cell r="E309" t="str">
            <v>2022</v>
          </cell>
          <cell r="F309">
            <v>0</v>
          </cell>
          <cell r="G309">
            <v>0</v>
          </cell>
          <cell r="H309">
            <v>0</v>
          </cell>
          <cell r="I309">
            <v>44926</v>
          </cell>
          <cell r="J309">
            <v>0</v>
          </cell>
          <cell r="K309">
            <v>22051.279999999999</v>
          </cell>
        </row>
        <row r="310">
          <cell r="B310" t="str">
            <v>420-300-110</v>
          </cell>
          <cell r="C310" t="str">
            <v>Revenue</v>
          </cell>
          <cell r="D310" t="str">
            <v>F&amp;C - Rentals - Equipment</v>
          </cell>
          <cell r="E310" t="str">
            <v>2022</v>
          </cell>
          <cell r="F310">
            <v>0</v>
          </cell>
          <cell r="G310">
            <v>0</v>
          </cell>
          <cell r="H310">
            <v>0</v>
          </cell>
          <cell r="I310">
            <v>44926</v>
          </cell>
          <cell r="J310">
            <v>0</v>
          </cell>
          <cell r="K310">
            <v>0</v>
          </cell>
        </row>
        <row r="311">
          <cell r="B311" t="str">
            <v>420-400-100</v>
          </cell>
          <cell r="C311" t="str">
            <v>Revenue</v>
          </cell>
          <cell r="D311" t="str">
            <v>F&amp;C - Criminal Record Check Fees</v>
          </cell>
          <cell r="E311" t="str">
            <v>2022</v>
          </cell>
          <cell r="F311">
            <v>0</v>
          </cell>
          <cell r="G311">
            <v>0</v>
          </cell>
          <cell r="H311">
            <v>0</v>
          </cell>
          <cell r="I311">
            <v>44926</v>
          </cell>
          <cell r="J311">
            <v>540</v>
          </cell>
          <cell r="K311">
            <v>2320</v>
          </cell>
        </row>
        <row r="312">
          <cell r="B312" t="str">
            <v>420-400-110</v>
          </cell>
          <cell r="C312" t="str">
            <v>Revenue</v>
          </cell>
          <cell r="D312" t="str">
            <v>F&amp;C - Policing Fees - Fines</v>
          </cell>
          <cell r="E312" t="str">
            <v>2022</v>
          </cell>
          <cell r="F312">
            <v>5198.22</v>
          </cell>
          <cell r="G312">
            <v>5198.22</v>
          </cell>
          <cell r="H312">
            <v>9107.56</v>
          </cell>
          <cell r="I312">
            <v>44926</v>
          </cell>
          <cell r="J312">
            <v>11342.41</v>
          </cell>
          <cell r="K312">
            <v>9513.5400000000009</v>
          </cell>
        </row>
        <row r="313">
          <cell r="B313" t="str">
            <v>420-400-300</v>
          </cell>
          <cell r="C313" t="str">
            <v>Revenue</v>
          </cell>
          <cell r="D313" t="str">
            <v>F&amp;C - Fire Fees</v>
          </cell>
          <cell r="E313" t="str">
            <v>2022</v>
          </cell>
          <cell r="F313">
            <v>0</v>
          </cell>
          <cell r="G313">
            <v>0</v>
          </cell>
          <cell r="H313">
            <v>118.75</v>
          </cell>
          <cell r="I313">
            <v>44926</v>
          </cell>
          <cell r="J313">
            <v>1150</v>
          </cell>
          <cell r="K313">
            <v>11304.89</v>
          </cell>
        </row>
        <row r="314">
          <cell r="B314" t="str">
            <v>420-400-305</v>
          </cell>
          <cell r="C314" t="str">
            <v>Revenue</v>
          </cell>
          <cell r="D314" t="str">
            <v>F&amp;C - Fire Fees recovered by RM</v>
          </cell>
          <cell r="E314" t="str">
            <v>2022</v>
          </cell>
          <cell r="F314">
            <v>15497.49</v>
          </cell>
          <cell r="G314">
            <v>15497.49</v>
          </cell>
          <cell r="H314">
            <v>43210.84</v>
          </cell>
          <cell r="I314">
            <v>44926</v>
          </cell>
          <cell r="J314">
            <v>40893.39</v>
          </cell>
          <cell r="K314">
            <v>42410.59</v>
          </cell>
        </row>
        <row r="315">
          <cell r="B315" t="str">
            <v>420-400-700</v>
          </cell>
          <cell r="C315" t="str">
            <v>Revenue</v>
          </cell>
          <cell r="D315" t="str">
            <v>F&amp;C - Bylaw Enforcement Fees</v>
          </cell>
          <cell r="E315" t="str">
            <v>2022</v>
          </cell>
          <cell r="F315">
            <v>6641</v>
          </cell>
          <cell r="G315">
            <v>6641</v>
          </cell>
          <cell r="H315">
            <v>1235</v>
          </cell>
          <cell r="I315">
            <v>44926</v>
          </cell>
          <cell r="J315">
            <v>4858.2</v>
          </cell>
          <cell r="K315">
            <v>905</v>
          </cell>
        </row>
        <row r="316">
          <cell r="B316" t="str">
            <v>420-400-710</v>
          </cell>
          <cell r="C316" t="str">
            <v>Revenue</v>
          </cell>
          <cell r="D316" t="str">
            <v>F&amp;C CSO Fees Recoverable</v>
          </cell>
          <cell r="E316" t="str">
            <v>2022</v>
          </cell>
          <cell r="F316">
            <v>0</v>
          </cell>
          <cell r="G316">
            <v>0</v>
          </cell>
          <cell r="H316">
            <v>0</v>
          </cell>
          <cell r="I316">
            <v>44926</v>
          </cell>
        </row>
        <row r="317">
          <cell r="B317" t="str">
            <v>420-500-100</v>
          </cell>
          <cell r="C317" t="str">
            <v>Revenue</v>
          </cell>
          <cell r="D317" t="str">
            <v>F&amp;C - Rec Centre Fees - Skating Rink</v>
          </cell>
          <cell r="E317" t="str">
            <v>2022</v>
          </cell>
          <cell r="F317">
            <v>850</v>
          </cell>
          <cell r="G317">
            <v>850</v>
          </cell>
          <cell r="H317">
            <v>0</v>
          </cell>
          <cell r="I317">
            <v>44926</v>
          </cell>
          <cell r="J317">
            <v>0</v>
          </cell>
          <cell r="K317">
            <v>0</v>
          </cell>
        </row>
        <row r="318">
          <cell r="B318" t="str">
            <v>420-500-200</v>
          </cell>
          <cell r="C318" t="str">
            <v>Revenue</v>
          </cell>
          <cell r="D318" t="str">
            <v>F&amp;C - Rec Centre Fees - Curling Rink</v>
          </cell>
          <cell r="E318" t="str">
            <v>2022</v>
          </cell>
          <cell r="F318">
            <v>0</v>
          </cell>
          <cell r="G318">
            <v>0</v>
          </cell>
          <cell r="H318">
            <v>0</v>
          </cell>
          <cell r="I318">
            <v>44926</v>
          </cell>
          <cell r="J318">
            <v>0</v>
          </cell>
          <cell r="K318">
            <v>0</v>
          </cell>
        </row>
        <row r="319">
          <cell r="B319" t="str">
            <v>420-500-300</v>
          </cell>
          <cell r="C319" t="str">
            <v>Revenue</v>
          </cell>
          <cell r="D319" t="str">
            <v>F&amp;C - Rec Centre Fees - Swimming Pool</v>
          </cell>
          <cell r="E319" t="str">
            <v>2022</v>
          </cell>
          <cell r="F319">
            <v>0</v>
          </cell>
          <cell r="G319">
            <v>0</v>
          </cell>
          <cell r="H319">
            <v>0</v>
          </cell>
          <cell r="I319">
            <v>44926</v>
          </cell>
          <cell r="J319">
            <v>0</v>
          </cell>
          <cell r="K319">
            <v>0</v>
          </cell>
        </row>
        <row r="320">
          <cell r="B320" t="str">
            <v>420-500-400</v>
          </cell>
          <cell r="C320" t="str">
            <v>Revenue</v>
          </cell>
          <cell r="D320" t="str">
            <v>F&amp;C - Rec Centre Fees - Canteen Lease</v>
          </cell>
          <cell r="E320" t="str">
            <v>2022</v>
          </cell>
          <cell r="F320">
            <v>1950</v>
          </cell>
          <cell r="G320">
            <v>1950</v>
          </cell>
          <cell r="H320">
            <v>1950</v>
          </cell>
          <cell r="I320">
            <v>44926</v>
          </cell>
        </row>
        <row r="321">
          <cell r="B321" t="str">
            <v>420-500-500</v>
          </cell>
          <cell r="C321" t="str">
            <v>Revenue</v>
          </cell>
          <cell r="D321" t="str">
            <v>F&amp;C - Rec Centre Fees - Baseball Diamond</v>
          </cell>
          <cell r="E321" t="str">
            <v>2022</v>
          </cell>
          <cell r="F321">
            <v>0</v>
          </cell>
          <cell r="G321">
            <v>0</v>
          </cell>
          <cell r="H321">
            <v>0</v>
          </cell>
          <cell r="I321">
            <v>44926</v>
          </cell>
          <cell r="J321">
            <v>0</v>
          </cell>
          <cell r="K321">
            <v>0</v>
          </cell>
        </row>
        <row r="322">
          <cell r="B322" t="str">
            <v>420-500-600</v>
          </cell>
          <cell r="C322" t="str">
            <v>Revenue</v>
          </cell>
          <cell r="D322" t="str">
            <v>F&amp;C - Rec Centre Fees - Sports Fields</v>
          </cell>
          <cell r="E322" t="str">
            <v>2022</v>
          </cell>
          <cell r="F322">
            <v>0</v>
          </cell>
          <cell r="G322">
            <v>0</v>
          </cell>
          <cell r="H322">
            <v>0</v>
          </cell>
          <cell r="I322">
            <v>44926</v>
          </cell>
          <cell r="J322">
            <v>0</v>
          </cell>
          <cell r="K322">
            <v>0</v>
          </cell>
        </row>
        <row r="323">
          <cell r="B323" t="str">
            <v>420-500-800</v>
          </cell>
          <cell r="C323" t="str">
            <v>Revenue</v>
          </cell>
          <cell r="D323" t="str">
            <v>F&amp;C - Rec Fees - Trailer Park/Campground</v>
          </cell>
          <cell r="E323" t="str">
            <v>2022</v>
          </cell>
          <cell r="F323">
            <v>14185.81</v>
          </cell>
          <cell r="G323">
            <v>14185.81</v>
          </cell>
          <cell r="H323">
            <v>18245.650000000001</v>
          </cell>
          <cell r="I323">
            <v>44926</v>
          </cell>
          <cell r="J323">
            <v>0</v>
          </cell>
          <cell r="K323">
            <v>17934.349999999999</v>
          </cell>
        </row>
        <row r="324">
          <cell r="B324" t="str">
            <v>420-500-850</v>
          </cell>
          <cell r="C324" t="str">
            <v>Revenue</v>
          </cell>
          <cell r="D324" t="str">
            <v>F&amp;C Rec Fees - SG Private Rentals</v>
          </cell>
          <cell r="E324" t="str">
            <v>2022</v>
          </cell>
          <cell r="F324">
            <v>670.57</v>
          </cell>
          <cell r="G324">
            <v>670.57</v>
          </cell>
          <cell r="H324">
            <v>0</v>
          </cell>
          <cell r="I324">
            <v>44926</v>
          </cell>
        </row>
        <row r="325">
          <cell r="B325" t="str">
            <v>420-500-900</v>
          </cell>
          <cell r="C325" t="str">
            <v>Revenue</v>
          </cell>
          <cell r="D325" t="str">
            <v>F&amp;C - Rec Fees - Sportsgrounds</v>
          </cell>
          <cell r="E325" t="str">
            <v>2022</v>
          </cell>
          <cell r="F325">
            <v>3470</v>
          </cell>
          <cell r="G325">
            <v>3470</v>
          </cell>
          <cell r="H325">
            <v>2595</v>
          </cell>
          <cell r="I325">
            <v>44926</v>
          </cell>
          <cell r="J325">
            <v>825</v>
          </cell>
          <cell r="K325">
            <v>1240</v>
          </cell>
        </row>
        <row r="326">
          <cell r="B326" t="str">
            <v>420-510-800</v>
          </cell>
          <cell r="C326" t="str">
            <v>Revenue</v>
          </cell>
          <cell r="D326" t="str">
            <v>F&amp;C - Rec Fees - Playground Prog Fees</v>
          </cell>
          <cell r="E326" t="str">
            <v>2022</v>
          </cell>
          <cell r="F326">
            <v>5340</v>
          </cell>
          <cell r="G326">
            <v>5340</v>
          </cell>
          <cell r="H326">
            <v>3139.05</v>
          </cell>
          <cell r="I326">
            <v>44926</v>
          </cell>
          <cell r="J326">
            <v>1760</v>
          </cell>
          <cell r="K326">
            <v>1255.2</v>
          </cell>
        </row>
        <row r="327">
          <cell r="B327" t="str">
            <v>420-520-100</v>
          </cell>
          <cell r="C327" t="str">
            <v>Revenue</v>
          </cell>
          <cell r="D327" t="str">
            <v>F&amp;C - Rec Program Fees - Ice Rental</v>
          </cell>
          <cell r="E327" t="str">
            <v>2022</v>
          </cell>
          <cell r="F327">
            <v>56541.49</v>
          </cell>
          <cell r="G327">
            <v>56541.49</v>
          </cell>
          <cell r="H327">
            <v>101931.3</v>
          </cell>
          <cell r="I327">
            <v>44926</v>
          </cell>
          <cell r="J327">
            <v>93421.19</v>
          </cell>
          <cell r="K327">
            <v>40703.74</v>
          </cell>
        </row>
        <row r="328">
          <cell r="B328" t="str">
            <v>420-520-105</v>
          </cell>
          <cell r="C328" t="str">
            <v>Revenue</v>
          </cell>
          <cell r="D328" t="str">
            <v>F&amp;C - Rec Program Fees - Other</v>
          </cell>
          <cell r="E328" t="str">
            <v>2022</v>
          </cell>
          <cell r="F328">
            <v>100</v>
          </cell>
          <cell r="G328">
            <v>100</v>
          </cell>
          <cell r="H328">
            <v>0</v>
          </cell>
          <cell r="I328">
            <v>44926</v>
          </cell>
          <cell r="J328">
            <v>351.44</v>
          </cell>
          <cell r="K328">
            <v>210838.12</v>
          </cell>
        </row>
        <row r="329">
          <cell r="B329" t="str">
            <v>420-520-200</v>
          </cell>
          <cell r="C329" t="str">
            <v>Revenue</v>
          </cell>
          <cell r="D329" t="str">
            <v>F&amp;C - Rec Program Fees - Curling Rink</v>
          </cell>
          <cell r="E329" t="str">
            <v>2022</v>
          </cell>
          <cell r="F329">
            <v>16456.8</v>
          </cell>
          <cell r="G329">
            <v>16456.8</v>
          </cell>
          <cell r="H329">
            <v>16156.8</v>
          </cell>
          <cell r="I329">
            <v>44926</v>
          </cell>
          <cell r="J329">
            <v>23131.43</v>
          </cell>
          <cell r="K329">
            <v>15890</v>
          </cell>
        </row>
        <row r="330">
          <cell r="B330" t="str">
            <v>420-520-290</v>
          </cell>
          <cell r="C330" t="str">
            <v>Revenue</v>
          </cell>
          <cell r="D330" t="str">
            <v>F&amp;C - Rec Program  - Sign Advertising</v>
          </cell>
          <cell r="E330" t="str">
            <v>2022</v>
          </cell>
          <cell r="F330">
            <v>177.12</v>
          </cell>
          <cell r="G330">
            <v>177.12</v>
          </cell>
          <cell r="H330">
            <v>33775</v>
          </cell>
          <cell r="I330">
            <v>44926</v>
          </cell>
          <cell r="J330">
            <v>38575</v>
          </cell>
          <cell r="K330">
            <v>37409.9</v>
          </cell>
        </row>
        <row r="331">
          <cell r="B331" t="str">
            <v>420-520-295</v>
          </cell>
          <cell r="C331" t="str">
            <v>Revenue</v>
          </cell>
          <cell r="D331" t="str">
            <v>F&amp;C - Rec Program - Wage Recovery</v>
          </cell>
          <cell r="E331" t="str">
            <v>2022</v>
          </cell>
          <cell r="F331">
            <v>0</v>
          </cell>
          <cell r="G331">
            <v>0</v>
          </cell>
          <cell r="H331">
            <v>0</v>
          </cell>
          <cell r="I331">
            <v>44926</v>
          </cell>
          <cell r="J331">
            <v>0</v>
          </cell>
          <cell r="K331">
            <v>0</v>
          </cell>
        </row>
        <row r="332">
          <cell r="B332" t="str">
            <v>420-520-296</v>
          </cell>
          <cell r="C332" t="str">
            <v>Revenue</v>
          </cell>
          <cell r="D332" t="str">
            <v>F&amp;C - Rec Program - Wage Recovery BID</v>
          </cell>
          <cell r="E332" t="str">
            <v>2022</v>
          </cell>
          <cell r="F332">
            <v>4000</v>
          </cell>
          <cell r="G332">
            <v>4000</v>
          </cell>
          <cell r="H332">
            <v>4000</v>
          </cell>
          <cell r="I332">
            <v>44926</v>
          </cell>
          <cell r="J332">
            <v>4000</v>
          </cell>
          <cell r="K332">
            <v>4000</v>
          </cell>
        </row>
        <row r="333">
          <cell r="B333" t="str">
            <v>420-520-300</v>
          </cell>
          <cell r="C333" t="str">
            <v>Revenue</v>
          </cell>
          <cell r="D333" t="str">
            <v>F&amp;C - Rec Program Fees - Public Swim</v>
          </cell>
          <cell r="E333" t="str">
            <v>2022</v>
          </cell>
          <cell r="F333">
            <v>9617.7000000000007</v>
          </cell>
          <cell r="G333">
            <v>9617.7000000000007</v>
          </cell>
          <cell r="H333">
            <v>1956</v>
          </cell>
          <cell r="I333">
            <v>44926</v>
          </cell>
          <cell r="J333">
            <v>1023.5</v>
          </cell>
          <cell r="K333">
            <v>14866.15</v>
          </cell>
        </row>
        <row r="334">
          <cell r="B334" t="str">
            <v>420-520-305</v>
          </cell>
          <cell r="C334" t="str">
            <v>Revenue</v>
          </cell>
          <cell r="D334" t="str">
            <v>F&amp;C - Rec Program Fees - Punch Cards</v>
          </cell>
          <cell r="E334" t="str">
            <v>2022</v>
          </cell>
          <cell r="F334">
            <v>1562.83</v>
          </cell>
          <cell r="G334">
            <v>1562.83</v>
          </cell>
          <cell r="H334">
            <v>0</v>
          </cell>
          <cell r="I334">
            <v>44926</v>
          </cell>
        </row>
        <row r="335">
          <cell r="B335" t="str">
            <v>420-520-310</v>
          </cell>
          <cell r="C335" t="str">
            <v>Revenue</v>
          </cell>
          <cell r="D335" t="str">
            <v>F&amp;C - Rec Program Fees - Swim Lessons</v>
          </cell>
          <cell r="E335" t="str">
            <v>2022</v>
          </cell>
          <cell r="F335">
            <v>38624.5</v>
          </cell>
          <cell r="G335">
            <v>38624.5</v>
          </cell>
          <cell r="H335">
            <v>31616</v>
          </cell>
          <cell r="I335">
            <v>44926</v>
          </cell>
          <cell r="J335">
            <v>20923.5</v>
          </cell>
          <cell r="K335">
            <v>29320</v>
          </cell>
        </row>
        <row r="336">
          <cell r="B336" t="str">
            <v>420-520-320</v>
          </cell>
          <cell r="C336" t="str">
            <v>Revenue</v>
          </cell>
          <cell r="D336" t="str">
            <v>F&amp;C - Rec Program Fees - Rentals</v>
          </cell>
          <cell r="E336" t="str">
            <v>2022</v>
          </cell>
          <cell r="F336">
            <v>2388</v>
          </cell>
          <cell r="G336">
            <v>2388</v>
          </cell>
          <cell r="H336">
            <v>7844.81</v>
          </cell>
          <cell r="I336">
            <v>44926</v>
          </cell>
          <cell r="J336">
            <v>2247.0100000000002</v>
          </cell>
          <cell r="K336">
            <v>3733.65</v>
          </cell>
        </row>
        <row r="337">
          <cell r="B337" t="str">
            <v>420-520-325</v>
          </cell>
          <cell r="C337" t="str">
            <v>Revenue</v>
          </cell>
          <cell r="D337" t="str">
            <v>F&amp;C - Rec Program Fees -Pool Memberships</v>
          </cell>
          <cell r="E337" t="str">
            <v>2022</v>
          </cell>
          <cell r="F337">
            <v>4148.92</v>
          </cell>
          <cell r="G337">
            <v>4148.92</v>
          </cell>
          <cell r="H337">
            <v>17078.84</v>
          </cell>
          <cell r="I337">
            <v>44926</v>
          </cell>
          <cell r="J337">
            <v>8748.91</v>
          </cell>
          <cell r="K337">
            <v>0</v>
          </cell>
        </row>
        <row r="338">
          <cell r="B338" t="str">
            <v>420-520-330</v>
          </cell>
          <cell r="C338" t="str">
            <v>Revenue</v>
          </cell>
          <cell r="D338" t="str">
            <v>F&amp;C - Rec Program Fees - Ice Cream Sales</v>
          </cell>
          <cell r="E338" t="str">
            <v>2022</v>
          </cell>
          <cell r="F338">
            <v>824.83</v>
          </cell>
          <cell r="G338">
            <v>824.83</v>
          </cell>
          <cell r="H338">
            <v>0</v>
          </cell>
          <cell r="I338">
            <v>44926</v>
          </cell>
          <cell r="J338">
            <v>0</v>
          </cell>
          <cell r="K338">
            <v>3407.81</v>
          </cell>
        </row>
        <row r="339">
          <cell r="B339" t="str">
            <v>420-520-400</v>
          </cell>
          <cell r="C339" t="str">
            <v>Revenue</v>
          </cell>
          <cell r="D339" t="str">
            <v>F&amp;C - Rec Program Fees - Theatre</v>
          </cell>
          <cell r="E339" t="str">
            <v>2022</v>
          </cell>
          <cell r="F339">
            <v>1775</v>
          </cell>
          <cell r="G339">
            <v>1775</v>
          </cell>
          <cell r="H339">
            <v>200</v>
          </cell>
          <cell r="I339">
            <v>44926</v>
          </cell>
          <cell r="J339">
            <v>-500</v>
          </cell>
          <cell r="K339">
            <v>3335</v>
          </cell>
        </row>
        <row r="340">
          <cell r="B340" t="str">
            <v>420-520-500</v>
          </cell>
          <cell r="C340" t="str">
            <v>Revenue</v>
          </cell>
          <cell r="D340" t="str">
            <v>F&amp;C - Recreation - Misc. Programming</v>
          </cell>
          <cell r="E340" t="str">
            <v>2022</v>
          </cell>
          <cell r="F340">
            <v>1830.2</v>
          </cell>
          <cell r="G340">
            <v>1830.2</v>
          </cell>
          <cell r="H340">
            <v>3876.12</v>
          </cell>
          <cell r="I340">
            <v>44926</v>
          </cell>
          <cell r="J340">
            <v>0</v>
          </cell>
          <cell r="K340">
            <v>225</v>
          </cell>
        </row>
        <row r="341">
          <cell r="B341" t="str">
            <v>420-520-700</v>
          </cell>
          <cell r="C341" t="str">
            <v>Revenue</v>
          </cell>
          <cell r="D341" t="str">
            <v>F&amp;C - Rec Program Fees - Lounge Revenue</v>
          </cell>
          <cell r="E341" t="str">
            <v>2022</v>
          </cell>
          <cell r="F341">
            <v>46812.89</v>
          </cell>
          <cell r="G341">
            <v>46812.89</v>
          </cell>
          <cell r="H341">
            <v>12456.67</v>
          </cell>
          <cell r="I341">
            <v>44926</v>
          </cell>
          <cell r="J341">
            <v>31190.62</v>
          </cell>
          <cell r="K341">
            <v>17996.77</v>
          </cell>
        </row>
        <row r="342">
          <cell r="B342" t="str">
            <v>420-520-800</v>
          </cell>
          <cell r="C342" t="str">
            <v>Revenue</v>
          </cell>
          <cell r="D342" t="str">
            <v>F&amp;C - Rec Program Fees - Canteen Revenue</v>
          </cell>
          <cell r="E342" t="str">
            <v>2022</v>
          </cell>
          <cell r="F342">
            <v>0</v>
          </cell>
          <cell r="G342">
            <v>0</v>
          </cell>
          <cell r="H342">
            <v>0</v>
          </cell>
          <cell r="I342">
            <v>44926</v>
          </cell>
          <cell r="J342">
            <v>31744.22</v>
          </cell>
          <cell r="K342">
            <v>27755.58</v>
          </cell>
        </row>
        <row r="343">
          <cell r="B343" t="str">
            <v>420-520-900</v>
          </cell>
          <cell r="C343" t="str">
            <v>Revenue</v>
          </cell>
          <cell r="D343" t="str">
            <v>F&amp;C - Rec Fees - Membership/Public Skate</v>
          </cell>
          <cell r="E343" t="str">
            <v>2022</v>
          </cell>
          <cell r="F343">
            <v>4275</v>
          </cell>
          <cell r="G343">
            <v>4275</v>
          </cell>
          <cell r="H343">
            <v>3720</v>
          </cell>
          <cell r="I343">
            <v>44926</v>
          </cell>
          <cell r="J343">
            <v>4194</v>
          </cell>
          <cell r="K343">
            <v>295.10000000000002</v>
          </cell>
        </row>
        <row r="344">
          <cell r="B344" t="str">
            <v>420-530-200</v>
          </cell>
          <cell r="C344" t="str">
            <v>Revenue</v>
          </cell>
          <cell r="D344" t="str">
            <v>F&amp;C - Community Halls Fees</v>
          </cell>
          <cell r="E344" t="str">
            <v>2022</v>
          </cell>
          <cell r="F344">
            <v>11677.5</v>
          </cell>
          <cell r="G344">
            <v>11677.5</v>
          </cell>
          <cell r="H344">
            <v>15281.55</v>
          </cell>
          <cell r="I344">
            <v>44926</v>
          </cell>
          <cell r="J344">
            <v>18975</v>
          </cell>
          <cell r="K344">
            <v>16669.53</v>
          </cell>
        </row>
        <row r="345">
          <cell r="B345" t="str">
            <v>420-600-100</v>
          </cell>
          <cell r="C345" t="str">
            <v>Revenue</v>
          </cell>
          <cell r="D345" t="str">
            <v>F&amp;C - Cemetery Plot Sales</v>
          </cell>
          <cell r="E345" t="str">
            <v>2022</v>
          </cell>
          <cell r="F345">
            <v>1765</v>
          </cell>
          <cell r="G345">
            <v>1765</v>
          </cell>
          <cell r="H345">
            <v>5950</v>
          </cell>
          <cell r="I345">
            <v>44926</v>
          </cell>
          <cell r="J345">
            <v>650</v>
          </cell>
          <cell r="K345">
            <v>2300</v>
          </cell>
        </row>
        <row r="346">
          <cell r="B346" t="str">
            <v>420-600-105</v>
          </cell>
          <cell r="C346" t="str">
            <v>Revenue</v>
          </cell>
          <cell r="D346" t="str">
            <v>F&amp;C - Open/Close - Cemetery</v>
          </cell>
          <cell r="E346" t="str">
            <v>2022</v>
          </cell>
          <cell r="F346">
            <v>400</v>
          </cell>
          <cell r="G346">
            <v>400</v>
          </cell>
          <cell r="H346">
            <v>1012.5</v>
          </cell>
          <cell r="I346">
            <v>44926</v>
          </cell>
          <cell r="J346">
            <v>1300</v>
          </cell>
          <cell r="K346">
            <v>4050</v>
          </cell>
        </row>
        <row r="347">
          <cell r="B347" t="str">
            <v>420-700-100</v>
          </cell>
          <cell r="C347" t="str">
            <v>Revenue</v>
          </cell>
          <cell r="D347" t="str">
            <v>F&amp;C - Licenses &amp; Permits - Cemetery</v>
          </cell>
          <cell r="E347" t="str">
            <v>2022</v>
          </cell>
          <cell r="F347">
            <v>300</v>
          </cell>
          <cell r="G347">
            <v>300</v>
          </cell>
          <cell r="H347">
            <v>1800</v>
          </cell>
          <cell r="I347">
            <v>44926</v>
          </cell>
          <cell r="J347">
            <v>500</v>
          </cell>
          <cell r="K347">
            <v>550</v>
          </cell>
        </row>
        <row r="348">
          <cell r="B348" t="str">
            <v>420-700-200</v>
          </cell>
          <cell r="C348" t="str">
            <v>Revenue</v>
          </cell>
          <cell r="D348" t="str">
            <v>F&amp;C - Licenses - Business</v>
          </cell>
          <cell r="E348" t="str">
            <v>2022</v>
          </cell>
          <cell r="F348">
            <v>2155</v>
          </cell>
          <cell r="G348">
            <v>2155</v>
          </cell>
          <cell r="H348">
            <v>2489.6799999999998</v>
          </cell>
          <cell r="I348">
            <v>44926</v>
          </cell>
          <cell r="J348">
            <v>5255.55</v>
          </cell>
          <cell r="K348">
            <v>5110</v>
          </cell>
        </row>
        <row r="349">
          <cell r="B349" t="str">
            <v>420-700-205</v>
          </cell>
          <cell r="C349" t="str">
            <v>Revenue</v>
          </cell>
          <cell r="D349" t="str">
            <v>F&amp;C - Licenses - Intermunicipal Business</v>
          </cell>
          <cell r="E349" t="str">
            <v>2022</v>
          </cell>
          <cell r="F349">
            <v>1441.66</v>
          </cell>
          <cell r="G349">
            <v>1441.66</v>
          </cell>
          <cell r="H349">
            <v>1208.33</v>
          </cell>
          <cell r="I349">
            <v>44926</v>
          </cell>
          <cell r="J349">
            <v>0</v>
          </cell>
          <cell r="K349">
            <v>250</v>
          </cell>
        </row>
        <row r="350">
          <cell r="B350" t="str">
            <v>420-700-210</v>
          </cell>
          <cell r="C350" t="str">
            <v>Revenue</v>
          </cell>
          <cell r="D350" t="str">
            <v>F&amp;C - Licenses - Pets</v>
          </cell>
          <cell r="E350" t="str">
            <v>2022</v>
          </cell>
          <cell r="F350">
            <v>1200</v>
          </cell>
          <cell r="G350">
            <v>1200</v>
          </cell>
          <cell r="H350">
            <v>1530</v>
          </cell>
          <cell r="I350">
            <v>44926</v>
          </cell>
          <cell r="J350">
            <v>1325</v>
          </cell>
          <cell r="K350">
            <v>2715</v>
          </cell>
        </row>
        <row r="351">
          <cell r="B351" t="str">
            <v>420-700-220</v>
          </cell>
          <cell r="C351" t="str">
            <v>Revenue</v>
          </cell>
          <cell r="D351" t="str">
            <v>F&amp;C - Licenses - Other - Perpetual Care</v>
          </cell>
          <cell r="E351" t="str">
            <v>2022</v>
          </cell>
          <cell r="F351">
            <v>800</v>
          </cell>
          <cell r="G351">
            <v>800</v>
          </cell>
          <cell r="H351">
            <v>5600</v>
          </cell>
          <cell r="I351">
            <v>44926</v>
          </cell>
          <cell r="J351">
            <v>400</v>
          </cell>
          <cell r="K351">
            <v>0</v>
          </cell>
        </row>
        <row r="352">
          <cell r="B352" t="str">
            <v>420-710-100</v>
          </cell>
          <cell r="C352" t="str">
            <v>Revenue</v>
          </cell>
          <cell r="D352" t="str">
            <v>F&amp;C - Building Permit Fee</v>
          </cell>
          <cell r="E352" t="str">
            <v>2022</v>
          </cell>
          <cell r="F352">
            <v>18694.82</v>
          </cell>
          <cell r="G352">
            <v>18694.82</v>
          </cell>
          <cell r="H352">
            <v>10918.71</v>
          </cell>
          <cell r="I352">
            <v>44926</v>
          </cell>
          <cell r="J352">
            <v>6429.76</v>
          </cell>
          <cell r="K352">
            <v>5234.6000000000004</v>
          </cell>
        </row>
        <row r="353">
          <cell r="B353" t="str">
            <v>420-710-105</v>
          </cell>
          <cell r="C353" t="str">
            <v>Revenue</v>
          </cell>
          <cell r="D353" t="str">
            <v>F&amp;C - Development &amp;/or Discretionary Use</v>
          </cell>
          <cell r="E353" t="str">
            <v>2022</v>
          </cell>
          <cell r="F353">
            <v>605.07000000000005</v>
          </cell>
          <cell r="G353">
            <v>605.07000000000005</v>
          </cell>
          <cell r="H353">
            <v>4883.7</v>
          </cell>
          <cell r="I353">
            <v>44926</v>
          </cell>
          <cell r="J353">
            <v>500</v>
          </cell>
          <cell r="K353">
            <v>600</v>
          </cell>
        </row>
        <row r="354">
          <cell r="B354" t="str">
            <v>420-710-110</v>
          </cell>
          <cell r="C354" t="str">
            <v>Revenue</v>
          </cell>
          <cell r="D354" t="str">
            <v>F&amp;C - SAMA Fees</v>
          </cell>
          <cell r="E354" t="str">
            <v>2022</v>
          </cell>
          <cell r="F354">
            <v>0</v>
          </cell>
          <cell r="G354">
            <v>0</v>
          </cell>
          <cell r="H354">
            <v>140</v>
          </cell>
          <cell r="I354">
            <v>44926</v>
          </cell>
          <cell r="J354">
            <v>40</v>
          </cell>
          <cell r="K354">
            <v>40</v>
          </cell>
        </row>
        <row r="355">
          <cell r="B355" t="str">
            <v>420-800-100</v>
          </cell>
          <cell r="C355" t="str">
            <v>Revenue</v>
          </cell>
          <cell r="D355" t="str">
            <v>F&amp;C - Tax Certificate</v>
          </cell>
          <cell r="E355" t="str">
            <v>2022</v>
          </cell>
          <cell r="F355">
            <v>650</v>
          </cell>
          <cell r="G355">
            <v>650</v>
          </cell>
          <cell r="H355">
            <v>2200</v>
          </cell>
          <cell r="I355">
            <v>44926</v>
          </cell>
          <cell r="J355">
            <v>1450</v>
          </cell>
          <cell r="K355">
            <v>725</v>
          </cell>
        </row>
        <row r="356">
          <cell r="B356" t="str">
            <v>420-800-200</v>
          </cell>
          <cell r="C356" t="str">
            <v>Revenue</v>
          </cell>
          <cell r="D356" t="str">
            <v>F&amp;C - General Office Services Provided</v>
          </cell>
          <cell r="E356" t="str">
            <v>2022</v>
          </cell>
          <cell r="F356">
            <v>133.41999999999999</v>
          </cell>
          <cell r="G356">
            <v>133.41999999999999</v>
          </cell>
          <cell r="H356">
            <v>157.75</v>
          </cell>
          <cell r="I356">
            <v>44926</v>
          </cell>
          <cell r="J356">
            <v>1211.8499999999999</v>
          </cell>
          <cell r="K356">
            <v>1962.52</v>
          </cell>
        </row>
        <row r="357">
          <cell r="B357" t="str">
            <v>420-800-210</v>
          </cell>
          <cell r="C357" t="str">
            <v>Revenue</v>
          </cell>
          <cell r="D357" t="str">
            <v>F&amp;C - Photocopy/Fax</v>
          </cell>
          <cell r="E357" t="str">
            <v>2022</v>
          </cell>
          <cell r="F357">
            <v>0</v>
          </cell>
          <cell r="G357">
            <v>0</v>
          </cell>
          <cell r="H357">
            <v>0</v>
          </cell>
          <cell r="I357">
            <v>44926</v>
          </cell>
          <cell r="J357">
            <v>0</v>
          </cell>
          <cell r="K357">
            <v>0</v>
          </cell>
        </row>
        <row r="358">
          <cell r="B358" t="str">
            <v>420-800-220</v>
          </cell>
          <cell r="C358" t="str">
            <v>Revenue</v>
          </cell>
          <cell r="D358" t="str">
            <v>F&amp;C - Appeal Fees</v>
          </cell>
          <cell r="E358" t="str">
            <v>2022</v>
          </cell>
          <cell r="F358">
            <v>0</v>
          </cell>
          <cell r="G358">
            <v>0</v>
          </cell>
          <cell r="H358">
            <v>0</v>
          </cell>
          <cell r="I358">
            <v>44926</v>
          </cell>
          <cell r="J358">
            <v>0</v>
          </cell>
          <cell r="K358">
            <v>0</v>
          </cell>
        </row>
        <row r="359">
          <cell r="B359" t="str">
            <v>420-800-230</v>
          </cell>
          <cell r="C359" t="str">
            <v>Revenue</v>
          </cell>
          <cell r="D359" t="str">
            <v>F&amp;C - Notarize Documents</v>
          </cell>
          <cell r="E359" t="str">
            <v>2022</v>
          </cell>
          <cell r="F359">
            <v>148.57</v>
          </cell>
          <cell r="G359">
            <v>148.57</v>
          </cell>
          <cell r="H359">
            <v>175</v>
          </cell>
          <cell r="I359">
            <v>44926</v>
          </cell>
          <cell r="J359">
            <v>195</v>
          </cell>
          <cell r="K359">
            <v>210.57</v>
          </cell>
        </row>
        <row r="360">
          <cell r="B360" t="str">
            <v>420-800-240</v>
          </cell>
          <cell r="C360" t="str">
            <v>Revenue</v>
          </cell>
          <cell r="D360" t="str">
            <v>F&amp;C - Administration Fees</v>
          </cell>
          <cell r="E360" t="str">
            <v>2022</v>
          </cell>
          <cell r="F360">
            <v>784.22</v>
          </cell>
          <cell r="G360">
            <v>784.22</v>
          </cell>
          <cell r="H360">
            <v>3674.28</v>
          </cell>
          <cell r="I360">
            <v>44926</v>
          </cell>
          <cell r="J360">
            <v>2250.2800000000002</v>
          </cell>
          <cell r="K360">
            <v>2390.48</v>
          </cell>
        </row>
        <row r="361">
          <cell r="B361" t="str">
            <v>420-850-100</v>
          </cell>
          <cell r="C361" t="str">
            <v>Revenue</v>
          </cell>
          <cell r="D361" t="str">
            <v>F&amp;C - Signing Corridor Lease Fees</v>
          </cell>
          <cell r="E361" t="str">
            <v>2022</v>
          </cell>
          <cell r="F361">
            <v>1875</v>
          </cell>
          <cell r="G361">
            <v>1875</v>
          </cell>
          <cell r="H361">
            <v>2150</v>
          </cell>
          <cell r="I361">
            <v>44926</v>
          </cell>
          <cell r="J361">
            <v>2000</v>
          </cell>
          <cell r="K361">
            <v>2000</v>
          </cell>
        </row>
        <row r="362">
          <cell r="B362" t="str">
            <v>420-850-110</v>
          </cell>
          <cell r="C362" t="str">
            <v>Revenue</v>
          </cell>
          <cell r="D362" t="str">
            <v>F&amp;C - Landfill Fees</v>
          </cell>
          <cell r="E362" t="str">
            <v>2022</v>
          </cell>
          <cell r="F362">
            <v>0</v>
          </cell>
          <cell r="G362">
            <v>0</v>
          </cell>
          <cell r="H362">
            <v>25</v>
          </cell>
          <cell r="I362">
            <v>44926</v>
          </cell>
          <cell r="J362">
            <v>75</v>
          </cell>
          <cell r="K362">
            <v>200</v>
          </cell>
        </row>
        <row r="363">
          <cell r="B363" t="str">
            <v>420-850-120</v>
          </cell>
          <cell r="C363" t="str">
            <v>Revenue</v>
          </cell>
          <cell r="D363" t="str">
            <v>F&amp;C - Waste Collection Fees</v>
          </cell>
          <cell r="E363" t="str">
            <v>2022</v>
          </cell>
          <cell r="F363">
            <v>38641.39</v>
          </cell>
          <cell r="G363">
            <v>38641.39</v>
          </cell>
          <cell r="H363">
            <v>126962.79</v>
          </cell>
          <cell r="I363">
            <v>44926</v>
          </cell>
          <cell r="J363">
            <v>123099.85</v>
          </cell>
          <cell r="K363">
            <v>108922.14</v>
          </cell>
        </row>
        <row r="364">
          <cell r="B364" t="str">
            <v>420-850-130</v>
          </cell>
          <cell r="C364" t="str">
            <v>Revenue</v>
          </cell>
          <cell r="D364" t="str">
            <v>F&amp;C - Recycle Collection Fees</v>
          </cell>
          <cell r="E364" t="str">
            <v>2022</v>
          </cell>
          <cell r="F364">
            <v>26308.25</v>
          </cell>
          <cell r="G364">
            <v>26308.25</v>
          </cell>
          <cell r="H364">
            <v>56446.89</v>
          </cell>
          <cell r="I364">
            <v>44926</v>
          </cell>
          <cell r="J364">
            <v>54812.6</v>
          </cell>
          <cell r="K364">
            <v>44208.13</v>
          </cell>
        </row>
        <row r="365">
          <cell r="B365" t="str">
            <v>420-850-135</v>
          </cell>
          <cell r="C365" t="str">
            <v>Revenue</v>
          </cell>
          <cell r="D365" t="str">
            <v>F&amp;C - MMSW Rebate</v>
          </cell>
          <cell r="E365" t="str">
            <v>2022</v>
          </cell>
          <cell r="F365">
            <v>5135.25</v>
          </cell>
          <cell r="G365">
            <v>5135.25</v>
          </cell>
          <cell r="H365">
            <v>19135.38</v>
          </cell>
          <cell r="I365">
            <v>44926</v>
          </cell>
          <cell r="J365">
            <v>7849</v>
          </cell>
          <cell r="K365">
            <v>2060.36</v>
          </cell>
        </row>
        <row r="366">
          <cell r="B366" t="str">
            <v>420-850-140</v>
          </cell>
          <cell r="C366" t="str">
            <v>Revenue</v>
          </cell>
          <cell r="D366" t="str">
            <v>F&amp;C - Interest Charges - Waste/Recycle</v>
          </cell>
          <cell r="E366" t="str">
            <v>2022</v>
          </cell>
          <cell r="F366">
            <v>291.48</v>
          </cell>
          <cell r="G366">
            <v>291.48</v>
          </cell>
          <cell r="H366">
            <v>821.93</v>
          </cell>
          <cell r="I366">
            <v>44926</v>
          </cell>
          <cell r="J366">
            <v>708.65</v>
          </cell>
          <cell r="K366">
            <v>471.47</v>
          </cell>
        </row>
        <row r="367">
          <cell r="B367" t="str">
            <v>420-850-850</v>
          </cell>
          <cell r="C367" t="str">
            <v>Revenue</v>
          </cell>
          <cell r="D367" t="str">
            <v>F&amp;C - Rec Fees - Private Rentals</v>
          </cell>
          <cell r="E367" t="str">
            <v>2022</v>
          </cell>
          <cell r="F367">
            <v>0</v>
          </cell>
          <cell r="G367">
            <v>0</v>
          </cell>
          <cell r="H367">
            <v>0</v>
          </cell>
          <cell r="I367">
            <v>44926</v>
          </cell>
        </row>
        <row r="368">
          <cell r="B368" t="str">
            <v>430-100-050</v>
          </cell>
          <cell r="C368" t="str">
            <v>Revenue</v>
          </cell>
          <cell r="D368" t="str">
            <v>MAINTENANCE &amp; DEVELOPMENT CHARGES</v>
          </cell>
          <cell r="E368" t="str">
            <v>2022</v>
          </cell>
          <cell r="F368">
            <v>0</v>
          </cell>
          <cell r="G368">
            <v>0</v>
          </cell>
          <cell r="H368">
            <v>0</v>
          </cell>
          <cell r="I368">
            <v>44926</v>
          </cell>
          <cell r="J368">
            <v>0</v>
          </cell>
          <cell r="K368">
            <v>0</v>
          </cell>
        </row>
        <row r="369">
          <cell r="B369" t="str">
            <v>430-100-100</v>
          </cell>
          <cell r="C369" t="str">
            <v>Revenue</v>
          </cell>
          <cell r="D369" t="str">
            <v>M&amp;D - Road Maintenance Fees</v>
          </cell>
          <cell r="E369" t="str">
            <v>2022</v>
          </cell>
          <cell r="F369">
            <v>0</v>
          </cell>
          <cell r="G369">
            <v>0</v>
          </cell>
          <cell r="H369">
            <v>0</v>
          </cell>
          <cell r="I369">
            <v>44926</v>
          </cell>
          <cell r="J369">
            <v>0</v>
          </cell>
          <cell r="K369">
            <v>0</v>
          </cell>
        </row>
        <row r="370">
          <cell r="B370" t="str">
            <v>430-200-100</v>
          </cell>
          <cell r="C370" t="str">
            <v>Revenue</v>
          </cell>
          <cell r="D370" t="str">
            <v>M&amp;D - Development Charges</v>
          </cell>
          <cell r="E370" t="str">
            <v>2022</v>
          </cell>
          <cell r="F370">
            <v>0</v>
          </cell>
          <cell r="G370">
            <v>0</v>
          </cell>
          <cell r="H370">
            <v>0</v>
          </cell>
          <cell r="I370">
            <v>44926</v>
          </cell>
          <cell r="J370">
            <v>0</v>
          </cell>
          <cell r="K370">
            <v>0</v>
          </cell>
        </row>
        <row r="371">
          <cell r="B371" t="str">
            <v>430-300-100</v>
          </cell>
          <cell r="C371" t="str">
            <v>Revenue</v>
          </cell>
          <cell r="D371" t="str">
            <v>M&amp;D - Public Reserve</v>
          </cell>
          <cell r="E371" t="str">
            <v>2022</v>
          </cell>
          <cell r="F371">
            <v>0</v>
          </cell>
          <cell r="G371">
            <v>0</v>
          </cell>
          <cell r="H371">
            <v>0</v>
          </cell>
          <cell r="I371">
            <v>44926</v>
          </cell>
          <cell r="J371">
            <v>0</v>
          </cell>
          <cell r="K371">
            <v>0</v>
          </cell>
        </row>
        <row r="372">
          <cell r="B372" t="str">
            <v>440-100-050</v>
          </cell>
          <cell r="C372" t="str">
            <v>Revenue</v>
          </cell>
          <cell r="D372" t="str">
            <v>UTILITY REVENUE</v>
          </cell>
          <cell r="E372" t="str">
            <v>2022</v>
          </cell>
          <cell r="F372">
            <v>0</v>
          </cell>
          <cell r="G372">
            <v>0</v>
          </cell>
          <cell r="H372">
            <v>0</v>
          </cell>
          <cell r="I372">
            <v>44926</v>
          </cell>
          <cell r="J372">
            <v>0</v>
          </cell>
          <cell r="K372">
            <v>0</v>
          </cell>
        </row>
        <row r="373">
          <cell r="B373" t="str">
            <v>440-110-100</v>
          </cell>
          <cell r="C373" t="str">
            <v>Revenue</v>
          </cell>
          <cell r="D373" t="str">
            <v>Water - Water Sales</v>
          </cell>
          <cell r="E373" t="str">
            <v>2022</v>
          </cell>
          <cell r="F373">
            <v>195366.34</v>
          </cell>
          <cell r="G373">
            <v>195366.34</v>
          </cell>
          <cell r="H373">
            <v>337996.37</v>
          </cell>
          <cell r="I373">
            <v>44926</v>
          </cell>
          <cell r="J373">
            <v>323692.37</v>
          </cell>
          <cell r="K373">
            <v>331540.55</v>
          </cell>
        </row>
        <row r="374">
          <cell r="B374" t="str">
            <v>440-120-200</v>
          </cell>
          <cell r="C374" t="str">
            <v>Revenue</v>
          </cell>
          <cell r="D374" t="str">
            <v>Water - Custom Work</v>
          </cell>
          <cell r="E374" t="str">
            <v>2022</v>
          </cell>
          <cell r="F374">
            <v>75</v>
          </cell>
          <cell r="G374">
            <v>75</v>
          </cell>
          <cell r="H374">
            <v>6900</v>
          </cell>
          <cell r="I374">
            <v>44926</v>
          </cell>
          <cell r="J374">
            <v>2450</v>
          </cell>
          <cell r="K374">
            <v>1706.73</v>
          </cell>
        </row>
        <row r="375">
          <cell r="B375" t="str">
            <v>440-130-100</v>
          </cell>
          <cell r="C375" t="str">
            <v>Revenue</v>
          </cell>
          <cell r="D375" t="str">
            <v>Water - Meter Sales</v>
          </cell>
          <cell r="E375" t="str">
            <v>2022</v>
          </cell>
          <cell r="F375">
            <v>0</v>
          </cell>
          <cell r="G375">
            <v>0</v>
          </cell>
          <cell r="H375">
            <v>1653.35</v>
          </cell>
          <cell r="I375">
            <v>44926</v>
          </cell>
          <cell r="J375">
            <v>650.41999999999996</v>
          </cell>
          <cell r="K375">
            <v>0</v>
          </cell>
        </row>
        <row r="376">
          <cell r="B376" t="str">
            <v>440-140-100</v>
          </cell>
          <cell r="C376" t="str">
            <v>Revenue</v>
          </cell>
          <cell r="D376" t="str">
            <v>Water - Connection Fees</v>
          </cell>
          <cell r="E376" t="str">
            <v>2022</v>
          </cell>
          <cell r="F376">
            <v>0</v>
          </cell>
          <cell r="G376">
            <v>0</v>
          </cell>
          <cell r="H376">
            <v>0</v>
          </cell>
          <cell r="I376">
            <v>44926</v>
          </cell>
          <cell r="J376">
            <v>0</v>
          </cell>
          <cell r="K376">
            <v>0</v>
          </cell>
        </row>
        <row r="377">
          <cell r="B377" t="str">
            <v>440-140-200</v>
          </cell>
          <cell r="C377" t="str">
            <v>Revenue</v>
          </cell>
          <cell r="D377" t="str">
            <v>Water - Infrastructure Renewal Charges</v>
          </cell>
          <cell r="E377" t="str">
            <v>2022</v>
          </cell>
          <cell r="F377">
            <v>58786.42</v>
          </cell>
          <cell r="G377">
            <v>58786.42</v>
          </cell>
          <cell r="H377">
            <v>98408.75</v>
          </cell>
          <cell r="I377">
            <v>44926</v>
          </cell>
          <cell r="J377">
            <v>95370.97</v>
          </cell>
          <cell r="K377">
            <v>87358.6</v>
          </cell>
        </row>
        <row r="378">
          <cell r="B378" t="str">
            <v>440-140-300</v>
          </cell>
          <cell r="C378" t="str">
            <v>Revenue</v>
          </cell>
          <cell r="D378" t="str">
            <v>Water - Sale of Supplies</v>
          </cell>
          <cell r="E378" t="str">
            <v>2022</v>
          </cell>
          <cell r="F378">
            <v>1193.3699999999999</v>
          </cell>
          <cell r="G378">
            <v>1193.3699999999999</v>
          </cell>
          <cell r="H378">
            <v>49.86</v>
          </cell>
          <cell r="I378">
            <v>44926</v>
          </cell>
          <cell r="J378">
            <v>20.149999999999999</v>
          </cell>
          <cell r="K378">
            <v>0</v>
          </cell>
        </row>
        <row r="379">
          <cell r="B379" t="str">
            <v>440-160-300</v>
          </cell>
          <cell r="C379" t="str">
            <v>Revenue</v>
          </cell>
          <cell r="D379" t="str">
            <v>Water - Permits</v>
          </cell>
          <cell r="E379" t="str">
            <v>2022</v>
          </cell>
          <cell r="F379">
            <v>0</v>
          </cell>
          <cell r="G379">
            <v>0</v>
          </cell>
          <cell r="H379">
            <v>0</v>
          </cell>
          <cell r="I379">
            <v>44926</v>
          </cell>
          <cell r="J379">
            <v>0</v>
          </cell>
          <cell r="K379">
            <v>0</v>
          </cell>
        </row>
        <row r="380">
          <cell r="B380" t="str">
            <v>440-160-400</v>
          </cell>
          <cell r="C380" t="str">
            <v>Revenue</v>
          </cell>
          <cell r="D380" t="str">
            <v>Water - Fines</v>
          </cell>
          <cell r="E380" t="str">
            <v>2022</v>
          </cell>
          <cell r="F380">
            <v>0</v>
          </cell>
          <cell r="G380">
            <v>0</v>
          </cell>
          <cell r="H380">
            <v>0</v>
          </cell>
          <cell r="I380">
            <v>44926</v>
          </cell>
          <cell r="J380">
            <v>0</v>
          </cell>
          <cell r="K380">
            <v>0</v>
          </cell>
        </row>
        <row r="381">
          <cell r="B381" t="str">
            <v>440-160-500</v>
          </cell>
          <cell r="C381" t="str">
            <v>Revenue</v>
          </cell>
          <cell r="D381" t="str">
            <v>Water - Interest Charges</v>
          </cell>
          <cell r="E381" t="str">
            <v>2022</v>
          </cell>
          <cell r="F381">
            <v>2031.55</v>
          </cell>
          <cell r="G381">
            <v>2031.55</v>
          </cell>
          <cell r="H381">
            <v>4434.1499999999996</v>
          </cell>
          <cell r="I381">
            <v>44926</v>
          </cell>
          <cell r="J381">
            <v>3588.43</v>
          </cell>
          <cell r="K381">
            <v>3135.16</v>
          </cell>
        </row>
        <row r="382">
          <cell r="B382" t="str">
            <v>440-190-900</v>
          </cell>
          <cell r="C382" t="str">
            <v>Revenue</v>
          </cell>
          <cell r="D382" t="str">
            <v>Water - Other Revenue</v>
          </cell>
          <cell r="E382" t="str">
            <v>2022</v>
          </cell>
          <cell r="F382">
            <v>0</v>
          </cell>
          <cell r="G382">
            <v>0</v>
          </cell>
          <cell r="H382">
            <v>0</v>
          </cell>
          <cell r="I382">
            <v>44926</v>
          </cell>
          <cell r="J382">
            <v>0</v>
          </cell>
          <cell r="K382">
            <v>0</v>
          </cell>
        </row>
        <row r="383">
          <cell r="B383" t="str">
            <v>440-220-100</v>
          </cell>
          <cell r="C383" t="str">
            <v>Revenue</v>
          </cell>
          <cell r="D383" t="str">
            <v>Sewer - Charges</v>
          </cell>
          <cell r="E383" t="str">
            <v>2022</v>
          </cell>
          <cell r="F383">
            <v>149447.57999999999</v>
          </cell>
          <cell r="G383">
            <v>149447.57999999999</v>
          </cell>
          <cell r="H383">
            <v>256731.25</v>
          </cell>
          <cell r="I383">
            <v>44926</v>
          </cell>
          <cell r="J383">
            <v>244441.67</v>
          </cell>
          <cell r="K383">
            <v>218720.01</v>
          </cell>
        </row>
        <row r="384">
          <cell r="B384" t="str">
            <v>440-230-100</v>
          </cell>
          <cell r="C384" t="str">
            <v>Revenue</v>
          </cell>
          <cell r="D384" t="str">
            <v>Sewer - Custom Work</v>
          </cell>
          <cell r="E384" t="str">
            <v>2022</v>
          </cell>
          <cell r="F384">
            <v>0</v>
          </cell>
          <cell r="G384">
            <v>0</v>
          </cell>
          <cell r="H384">
            <v>0</v>
          </cell>
          <cell r="I384">
            <v>44926</v>
          </cell>
          <cell r="J384">
            <v>0</v>
          </cell>
          <cell r="K384">
            <v>0</v>
          </cell>
        </row>
        <row r="385">
          <cell r="B385" t="str">
            <v>440-240-100</v>
          </cell>
          <cell r="C385" t="str">
            <v>Revenue</v>
          </cell>
          <cell r="D385" t="str">
            <v>Sewer - Connection Fees</v>
          </cell>
          <cell r="E385" t="str">
            <v>2022</v>
          </cell>
          <cell r="F385">
            <v>0</v>
          </cell>
          <cell r="G385">
            <v>0</v>
          </cell>
          <cell r="H385">
            <v>0</v>
          </cell>
          <cell r="I385">
            <v>44926</v>
          </cell>
          <cell r="J385">
            <v>0</v>
          </cell>
          <cell r="K385">
            <v>0</v>
          </cell>
        </row>
        <row r="386">
          <cell r="B386" t="str">
            <v>440-240-500</v>
          </cell>
          <cell r="C386" t="str">
            <v>Revenue</v>
          </cell>
          <cell r="D386" t="str">
            <v>Sewer - Interest Charges</v>
          </cell>
          <cell r="E386" t="str">
            <v>2022</v>
          </cell>
          <cell r="F386">
            <v>1061.8599999999999</v>
          </cell>
          <cell r="G386">
            <v>1061.8599999999999</v>
          </cell>
          <cell r="H386">
            <v>2100.5100000000002</v>
          </cell>
          <cell r="I386">
            <v>44926</v>
          </cell>
          <cell r="J386">
            <v>1640.38</v>
          </cell>
          <cell r="K386">
            <v>3135.16</v>
          </cell>
        </row>
        <row r="387">
          <cell r="B387" t="str">
            <v>440-250-100</v>
          </cell>
          <cell r="C387" t="str">
            <v>Revenue</v>
          </cell>
          <cell r="D387" t="str">
            <v>Sewer - Other</v>
          </cell>
          <cell r="E387" t="str">
            <v>2022</v>
          </cell>
          <cell r="F387">
            <v>0</v>
          </cell>
          <cell r="G387">
            <v>0</v>
          </cell>
          <cell r="H387">
            <v>0</v>
          </cell>
          <cell r="I387">
            <v>44926</v>
          </cell>
          <cell r="J387">
            <v>0</v>
          </cell>
          <cell r="K387">
            <v>0</v>
          </cell>
        </row>
        <row r="388">
          <cell r="B388" t="str">
            <v>440-270-300</v>
          </cell>
          <cell r="C388" t="str">
            <v>Revenue</v>
          </cell>
          <cell r="D388" t="str">
            <v>Sewer - Permits</v>
          </cell>
          <cell r="E388" t="str">
            <v>2022</v>
          </cell>
          <cell r="F388">
            <v>0</v>
          </cell>
          <cell r="G388">
            <v>0</v>
          </cell>
          <cell r="H388">
            <v>0</v>
          </cell>
          <cell r="I388">
            <v>44926</v>
          </cell>
          <cell r="J388">
            <v>0</v>
          </cell>
          <cell r="K388">
            <v>0</v>
          </cell>
        </row>
        <row r="389">
          <cell r="B389" t="str">
            <v>440-290-900</v>
          </cell>
          <cell r="C389" t="str">
            <v>Revenue</v>
          </cell>
          <cell r="D389" t="str">
            <v>Sewer - Infrastructure Renewal Charges</v>
          </cell>
          <cell r="E389" t="str">
            <v>2022</v>
          </cell>
          <cell r="F389">
            <v>58786.41</v>
          </cell>
          <cell r="G389">
            <v>58786.41</v>
          </cell>
          <cell r="H389">
            <v>98408.74</v>
          </cell>
          <cell r="I389">
            <v>44926</v>
          </cell>
          <cell r="J389">
            <v>95370.96</v>
          </cell>
          <cell r="K389">
            <v>87358.6</v>
          </cell>
        </row>
        <row r="390">
          <cell r="B390" t="str">
            <v>450-100-050</v>
          </cell>
          <cell r="C390" t="str">
            <v>Revenue</v>
          </cell>
          <cell r="D390" t="str">
            <v>GRANTS FROM OTHER GOVERNMENTS</v>
          </cell>
          <cell r="E390" t="str">
            <v>2022</v>
          </cell>
          <cell r="F390">
            <v>0</v>
          </cell>
          <cell r="G390">
            <v>0</v>
          </cell>
          <cell r="H390">
            <v>0</v>
          </cell>
          <cell r="I390">
            <v>44926</v>
          </cell>
          <cell r="J390">
            <v>0</v>
          </cell>
          <cell r="K390">
            <v>0</v>
          </cell>
        </row>
        <row r="391">
          <cell r="B391" t="str">
            <v>450-100-070</v>
          </cell>
          <cell r="C391" t="str">
            <v>Revenue</v>
          </cell>
          <cell r="D391" t="str">
            <v>UNCONDITIONAL</v>
          </cell>
          <cell r="E391" t="str">
            <v>2022</v>
          </cell>
          <cell r="F391">
            <v>0</v>
          </cell>
          <cell r="G391">
            <v>0</v>
          </cell>
          <cell r="H391">
            <v>0</v>
          </cell>
          <cell r="I391">
            <v>44926</v>
          </cell>
          <cell r="J391">
            <v>0</v>
          </cell>
          <cell r="K391">
            <v>0</v>
          </cell>
        </row>
        <row r="392">
          <cell r="B392" t="str">
            <v>450-100-100</v>
          </cell>
          <cell r="C392" t="str">
            <v>Revenue</v>
          </cell>
          <cell r="D392" t="str">
            <v>Unconditional Federal Grants</v>
          </cell>
          <cell r="E392" t="str">
            <v>2022</v>
          </cell>
          <cell r="F392">
            <v>0</v>
          </cell>
          <cell r="G392">
            <v>0</v>
          </cell>
          <cell r="H392">
            <v>0</v>
          </cell>
          <cell r="I392">
            <v>44926</v>
          </cell>
          <cell r="J392">
            <v>0</v>
          </cell>
          <cell r="K392">
            <v>0</v>
          </cell>
        </row>
        <row r="393">
          <cell r="B393" t="str">
            <v>450-105-100</v>
          </cell>
          <cell r="C393" t="str">
            <v>Revenue</v>
          </cell>
          <cell r="D393" t="str">
            <v>Unconditional Provincial Grants (MAPP)</v>
          </cell>
          <cell r="E393" t="str">
            <v>2022</v>
          </cell>
          <cell r="F393">
            <v>0</v>
          </cell>
          <cell r="G393">
            <v>0</v>
          </cell>
          <cell r="H393">
            <v>0</v>
          </cell>
          <cell r="I393">
            <v>44926</v>
          </cell>
          <cell r="J393">
            <v>0</v>
          </cell>
          <cell r="K393">
            <v>450</v>
          </cell>
        </row>
        <row r="394">
          <cell r="B394" t="str">
            <v>450-110-100</v>
          </cell>
          <cell r="C394" t="str">
            <v>Revenue</v>
          </cell>
          <cell r="D394" t="str">
            <v>Unconditional - Revenue Sharing</v>
          </cell>
          <cell r="E394" t="str">
            <v>2022</v>
          </cell>
          <cell r="F394">
            <v>80800</v>
          </cell>
          <cell r="G394">
            <v>80800</v>
          </cell>
          <cell r="H394">
            <v>325987</v>
          </cell>
          <cell r="I394">
            <v>44926</v>
          </cell>
          <cell r="J394">
            <v>328939</v>
          </cell>
          <cell r="K394">
            <v>296657</v>
          </cell>
        </row>
        <row r="395">
          <cell r="B395" t="str">
            <v>450-115-100</v>
          </cell>
          <cell r="C395" t="str">
            <v>Revenue</v>
          </cell>
          <cell r="D395" t="str">
            <v>Unconditional Local Grants - Lotteries</v>
          </cell>
          <cell r="E395" t="str">
            <v>2022</v>
          </cell>
          <cell r="F395">
            <v>13559</v>
          </cell>
          <cell r="G395">
            <v>13559</v>
          </cell>
          <cell r="H395">
            <v>14556</v>
          </cell>
          <cell r="I395">
            <v>44926</v>
          </cell>
          <cell r="J395">
            <v>15725</v>
          </cell>
          <cell r="K395">
            <v>15915</v>
          </cell>
        </row>
        <row r="396">
          <cell r="B396" t="str">
            <v>450-115-110</v>
          </cell>
          <cell r="C396" t="str">
            <v>Revenue</v>
          </cell>
          <cell r="D396" t="str">
            <v>Unconditional - Local Grants - Pool</v>
          </cell>
          <cell r="E396" t="str">
            <v>2022</v>
          </cell>
          <cell r="F396">
            <v>341.43</v>
          </cell>
          <cell r="G396">
            <v>341.43</v>
          </cell>
          <cell r="H396">
            <v>4765.7</v>
          </cell>
          <cell r="I396">
            <v>44926</v>
          </cell>
          <cell r="J396">
            <v>825.18</v>
          </cell>
          <cell r="K396">
            <v>1825.18</v>
          </cell>
        </row>
        <row r="397">
          <cell r="B397" t="str">
            <v>450-115-115</v>
          </cell>
          <cell r="C397" t="str">
            <v>Revenue</v>
          </cell>
          <cell r="D397" t="str">
            <v>Unconditional Local Grants - PG Program</v>
          </cell>
          <cell r="E397" t="str">
            <v>2022</v>
          </cell>
          <cell r="F397">
            <v>0</v>
          </cell>
          <cell r="G397">
            <v>0</v>
          </cell>
          <cell r="H397">
            <v>1097.44</v>
          </cell>
          <cell r="I397">
            <v>44926</v>
          </cell>
          <cell r="J397">
            <v>825.18</v>
          </cell>
          <cell r="K397">
            <v>825.18</v>
          </cell>
        </row>
        <row r="398">
          <cell r="B398" t="str">
            <v>450-115-120</v>
          </cell>
          <cell r="C398" t="str">
            <v>Revenue</v>
          </cell>
          <cell r="D398" t="str">
            <v>Unconditional Grants-SK Lotteries- Other</v>
          </cell>
          <cell r="E398" t="str">
            <v>2022</v>
          </cell>
          <cell r="F398">
            <v>0</v>
          </cell>
          <cell r="G398">
            <v>0</v>
          </cell>
          <cell r="H398">
            <v>2500</v>
          </cell>
          <cell r="I398">
            <v>44926</v>
          </cell>
          <cell r="J398">
            <v>0</v>
          </cell>
        </row>
        <row r="399">
          <cell r="B399" t="str">
            <v>450-115-125</v>
          </cell>
          <cell r="C399" t="str">
            <v>Revenue</v>
          </cell>
          <cell r="D399" t="str">
            <v>Unconditional - Grants - Rink</v>
          </cell>
          <cell r="E399" t="str">
            <v>2022</v>
          </cell>
          <cell r="F399">
            <v>0</v>
          </cell>
          <cell r="G399">
            <v>0</v>
          </cell>
          <cell r="H399">
            <v>20500</v>
          </cell>
          <cell r="I399">
            <v>44926</v>
          </cell>
          <cell r="J399">
            <v>0</v>
          </cell>
        </row>
        <row r="400">
          <cell r="B400" t="str">
            <v>450-120-100</v>
          </cell>
          <cell r="C400" t="str">
            <v>Revenue</v>
          </cell>
          <cell r="D400" t="str">
            <v>Unconditional - SPRA</v>
          </cell>
          <cell r="E400" t="str">
            <v>2022</v>
          </cell>
          <cell r="F400">
            <v>0</v>
          </cell>
          <cell r="G400">
            <v>0</v>
          </cell>
          <cell r="H400">
            <v>10000</v>
          </cell>
          <cell r="I400">
            <v>44926</v>
          </cell>
          <cell r="J400">
            <v>0</v>
          </cell>
          <cell r="K400">
            <v>0</v>
          </cell>
        </row>
        <row r="401">
          <cell r="B401" t="str">
            <v>450-140-100</v>
          </cell>
          <cell r="C401" t="str">
            <v>Revenue</v>
          </cell>
          <cell r="D401" t="str">
            <v>Unconditional - Sask Energy Mun. Srchge</v>
          </cell>
          <cell r="E401" t="str">
            <v>2022</v>
          </cell>
          <cell r="F401">
            <v>25654.94</v>
          </cell>
          <cell r="G401">
            <v>25654.94</v>
          </cell>
          <cell r="H401">
            <v>34679.64</v>
          </cell>
          <cell r="I401">
            <v>44926</v>
          </cell>
          <cell r="J401">
            <v>35916.269999999997</v>
          </cell>
          <cell r="K401">
            <v>37399.35</v>
          </cell>
        </row>
        <row r="402">
          <cell r="B402" t="str">
            <v>450-140-110</v>
          </cell>
          <cell r="C402" t="str">
            <v>Revenue</v>
          </cell>
          <cell r="D402" t="str">
            <v>Unconditional - SaskPower Mun. Srchg</v>
          </cell>
          <cell r="E402" t="str">
            <v>2022</v>
          </cell>
          <cell r="F402">
            <v>47475.59</v>
          </cell>
          <cell r="G402">
            <v>47475.59</v>
          </cell>
          <cell r="H402">
            <v>91919.75</v>
          </cell>
          <cell r="I402">
            <v>44926</v>
          </cell>
          <cell r="J402">
            <v>88724.04</v>
          </cell>
          <cell r="K402">
            <v>87250.99</v>
          </cell>
        </row>
        <row r="403">
          <cell r="B403" t="str">
            <v>450-200-050</v>
          </cell>
          <cell r="C403" t="str">
            <v>Revenue</v>
          </cell>
          <cell r="D403" t="str">
            <v>CONDITIONAL GRANTS</v>
          </cell>
          <cell r="E403" t="str">
            <v>2022</v>
          </cell>
          <cell r="F403">
            <v>0</v>
          </cell>
          <cell r="G403">
            <v>0</v>
          </cell>
          <cell r="H403">
            <v>0</v>
          </cell>
          <cell r="I403">
            <v>44926</v>
          </cell>
          <cell r="J403">
            <v>0</v>
          </cell>
          <cell r="K403">
            <v>0</v>
          </cell>
        </row>
        <row r="404">
          <cell r="B404" t="str">
            <v>450-200-070</v>
          </cell>
          <cell r="C404" t="str">
            <v>Revenue</v>
          </cell>
          <cell r="D404" t="str">
            <v>Conditional - Federal - Gas Tax</v>
          </cell>
          <cell r="E404" t="str">
            <v>2022</v>
          </cell>
          <cell r="F404">
            <v>0</v>
          </cell>
          <cell r="G404">
            <v>0</v>
          </cell>
          <cell r="H404">
            <v>175951.4</v>
          </cell>
          <cell r="I404">
            <v>44926</v>
          </cell>
          <cell r="J404">
            <v>127794</v>
          </cell>
          <cell r="K404">
            <v>178589.7</v>
          </cell>
        </row>
        <row r="405">
          <cell r="B405" t="str">
            <v>450-210-100</v>
          </cell>
          <cell r="C405" t="str">
            <v>Revenue</v>
          </cell>
          <cell r="D405" t="str">
            <v>Conditional - Federal - CAP</v>
          </cell>
          <cell r="E405" t="str">
            <v>2022</v>
          </cell>
          <cell r="F405">
            <v>0</v>
          </cell>
          <cell r="G405">
            <v>0</v>
          </cell>
          <cell r="H405">
            <v>0</v>
          </cell>
          <cell r="I405">
            <v>44926</v>
          </cell>
          <cell r="J405">
            <v>0</v>
          </cell>
          <cell r="K405">
            <v>0</v>
          </cell>
        </row>
        <row r="406">
          <cell r="B406" t="str">
            <v>450-230-100</v>
          </cell>
          <cell r="C406" t="str">
            <v>Revenue</v>
          </cell>
          <cell r="D406" t="str">
            <v>Conditional - Federal - Student Emp</v>
          </cell>
          <cell r="E406" t="str">
            <v>2022</v>
          </cell>
          <cell r="F406">
            <v>0</v>
          </cell>
          <cell r="G406">
            <v>0</v>
          </cell>
          <cell r="H406">
            <v>0</v>
          </cell>
          <cell r="I406">
            <v>44926</v>
          </cell>
          <cell r="J406">
            <v>0</v>
          </cell>
          <cell r="K406">
            <v>0</v>
          </cell>
        </row>
        <row r="407">
          <cell r="B407" t="str">
            <v>450-230-105</v>
          </cell>
          <cell r="C407" t="str">
            <v>Revenue</v>
          </cell>
          <cell r="D407" t="str">
            <v>Conditional - Federal - Student Emp</v>
          </cell>
          <cell r="E407" t="str">
            <v>2022</v>
          </cell>
          <cell r="F407">
            <v>7494</v>
          </cell>
          <cell r="G407">
            <v>7494</v>
          </cell>
          <cell r="H407">
            <v>7494</v>
          </cell>
          <cell r="I407">
            <v>44926</v>
          </cell>
          <cell r="J407">
            <v>8150</v>
          </cell>
          <cell r="K407">
            <v>3561</v>
          </cell>
        </row>
        <row r="408">
          <cell r="B408" t="str">
            <v>450-230-115</v>
          </cell>
          <cell r="C408" t="str">
            <v>Revenue</v>
          </cell>
          <cell r="D408" t="str">
            <v>Conditional - Federal - Student Emp</v>
          </cell>
          <cell r="E408" t="str">
            <v>2022</v>
          </cell>
          <cell r="F408">
            <v>0</v>
          </cell>
          <cell r="G408">
            <v>0</v>
          </cell>
          <cell r="H408">
            <v>0</v>
          </cell>
          <cell r="I408">
            <v>44926</v>
          </cell>
          <cell r="J408">
            <v>0</v>
          </cell>
          <cell r="K408">
            <v>0</v>
          </cell>
        </row>
        <row r="409">
          <cell r="B409" t="str">
            <v>450-240-100</v>
          </cell>
          <cell r="C409" t="str">
            <v>Revenue</v>
          </cell>
          <cell r="D409" t="str">
            <v>Conditional - Federal - Other</v>
          </cell>
          <cell r="E409" t="str">
            <v>2022</v>
          </cell>
          <cell r="F409">
            <v>0</v>
          </cell>
          <cell r="G409">
            <v>0</v>
          </cell>
          <cell r="H409">
            <v>0</v>
          </cell>
          <cell r="I409">
            <v>44926</v>
          </cell>
          <cell r="J409">
            <v>0</v>
          </cell>
          <cell r="K409">
            <v>0</v>
          </cell>
        </row>
        <row r="410">
          <cell r="B410" t="str">
            <v>450-300-050</v>
          </cell>
          <cell r="C410" t="str">
            <v>Revenue</v>
          </cell>
          <cell r="D410" t="str">
            <v>Conditional - Provincial - Museum</v>
          </cell>
          <cell r="E410" t="str">
            <v>2022</v>
          </cell>
          <cell r="F410">
            <v>0</v>
          </cell>
          <cell r="G410">
            <v>0</v>
          </cell>
          <cell r="H410">
            <v>0</v>
          </cell>
          <cell r="I410">
            <v>44926</v>
          </cell>
          <cell r="J410">
            <v>0</v>
          </cell>
          <cell r="K410">
            <v>0</v>
          </cell>
        </row>
        <row r="411">
          <cell r="B411" t="str">
            <v>450-300-100</v>
          </cell>
          <cell r="C411" t="str">
            <v>Revenue</v>
          </cell>
          <cell r="D411" t="str">
            <v>Conditional - Prov - MEEP</v>
          </cell>
          <cell r="E411" t="str">
            <v>2022</v>
          </cell>
          <cell r="F411">
            <v>0</v>
          </cell>
          <cell r="G411">
            <v>0</v>
          </cell>
          <cell r="H411">
            <v>158665.81</v>
          </cell>
          <cell r="I411">
            <v>44926</v>
          </cell>
          <cell r="J411">
            <v>48878.19</v>
          </cell>
          <cell r="K411">
            <v>0</v>
          </cell>
        </row>
        <row r="412">
          <cell r="B412" t="str">
            <v>450-305-100</v>
          </cell>
          <cell r="C412" t="str">
            <v>Revenue</v>
          </cell>
          <cell r="D412" t="str">
            <v>Conditional - Prov - CIF</v>
          </cell>
          <cell r="E412" t="str">
            <v>2022</v>
          </cell>
          <cell r="F412">
            <v>3200</v>
          </cell>
          <cell r="G412">
            <v>3200</v>
          </cell>
          <cell r="H412">
            <v>5000</v>
          </cell>
          <cell r="I412">
            <v>44926</v>
          </cell>
          <cell r="J412">
            <v>6000</v>
          </cell>
          <cell r="K412">
            <v>4000</v>
          </cell>
        </row>
        <row r="413">
          <cell r="B413" t="str">
            <v>450-305-105</v>
          </cell>
          <cell r="C413" t="str">
            <v>Revenue</v>
          </cell>
          <cell r="D413" t="str">
            <v>Conditional - Prov - Safe Restart Prog.</v>
          </cell>
          <cell r="E413" t="str">
            <v>2022</v>
          </cell>
          <cell r="F413">
            <v>0</v>
          </cell>
          <cell r="G413">
            <v>0</v>
          </cell>
          <cell r="H413">
            <v>0</v>
          </cell>
          <cell r="I413">
            <v>44926</v>
          </cell>
          <cell r="J413">
            <v>86140</v>
          </cell>
          <cell r="K413">
            <v>0</v>
          </cell>
        </row>
        <row r="414">
          <cell r="B414" t="str">
            <v>450-310-100</v>
          </cell>
          <cell r="C414" t="str">
            <v>Revenue</v>
          </cell>
          <cell r="D414" t="str">
            <v>Conditional - Prov - PDAP</v>
          </cell>
          <cell r="E414" t="str">
            <v>2022</v>
          </cell>
          <cell r="F414">
            <v>0</v>
          </cell>
          <cell r="G414">
            <v>0</v>
          </cell>
          <cell r="H414">
            <v>0</v>
          </cell>
          <cell r="I414">
            <v>44926</v>
          </cell>
          <cell r="J414">
            <v>0</v>
          </cell>
          <cell r="K414">
            <v>0</v>
          </cell>
        </row>
        <row r="415">
          <cell r="B415" t="str">
            <v>450-315-100</v>
          </cell>
          <cell r="C415" t="str">
            <v>Revenue</v>
          </cell>
          <cell r="D415" t="str">
            <v>Conditional - Prov - Student Employ</v>
          </cell>
          <cell r="E415" t="str">
            <v>2022</v>
          </cell>
          <cell r="F415">
            <v>0</v>
          </cell>
          <cell r="G415">
            <v>0</v>
          </cell>
          <cell r="H415">
            <v>0</v>
          </cell>
          <cell r="I415">
            <v>44926</v>
          </cell>
          <cell r="J415">
            <v>0</v>
          </cell>
          <cell r="K415">
            <v>0</v>
          </cell>
        </row>
        <row r="416">
          <cell r="B416" t="str">
            <v>450-320-105</v>
          </cell>
          <cell r="C416" t="str">
            <v>Revenue</v>
          </cell>
          <cell r="D416" t="str">
            <v>Conditional - Prov - Student Emp</v>
          </cell>
          <cell r="E416" t="str">
            <v>2022</v>
          </cell>
          <cell r="F416">
            <v>0</v>
          </cell>
          <cell r="G416">
            <v>0</v>
          </cell>
          <cell r="H416">
            <v>0</v>
          </cell>
          <cell r="I416">
            <v>44926</v>
          </cell>
          <cell r="J416">
            <v>0</v>
          </cell>
          <cell r="K416">
            <v>0</v>
          </cell>
        </row>
        <row r="417">
          <cell r="B417" t="str">
            <v>450-320-110</v>
          </cell>
          <cell r="C417" t="str">
            <v>Revenue</v>
          </cell>
          <cell r="D417" t="str">
            <v>Conditional - Provincial - Student Emp</v>
          </cell>
          <cell r="E417" t="str">
            <v>2022</v>
          </cell>
          <cell r="F417">
            <v>0</v>
          </cell>
          <cell r="G417">
            <v>0</v>
          </cell>
          <cell r="H417">
            <v>0</v>
          </cell>
          <cell r="I417">
            <v>44926</v>
          </cell>
          <cell r="J417">
            <v>0</v>
          </cell>
          <cell r="K417">
            <v>0</v>
          </cell>
        </row>
        <row r="418">
          <cell r="B418" t="str">
            <v>450-335-100</v>
          </cell>
          <cell r="C418" t="str">
            <v>Revenue</v>
          </cell>
          <cell r="D418" t="str">
            <v>Conditional - Prov - SGI</v>
          </cell>
          <cell r="E418" t="str">
            <v>2022</v>
          </cell>
          <cell r="F418">
            <v>0</v>
          </cell>
          <cell r="G418">
            <v>0</v>
          </cell>
          <cell r="H418">
            <v>15750</v>
          </cell>
          <cell r="I418">
            <v>44926</v>
          </cell>
          <cell r="J418">
            <v>0</v>
          </cell>
          <cell r="K418">
            <v>0</v>
          </cell>
        </row>
        <row r="419">
          <cell r="B419" t="str">
            <v>450-340-100</v>
          </cell>
          <cell r="C419" t="str">
            <v>Revenue</v>
          </cell>
          <cell r="D419" t="str">
            <v>Conditional - Prov - Transit Disabled</v>
          </cell>
          <cell r="E419" t="str">
            <v>2022</v>
          </cell>
          <cell r="F419">
            <v>3992</v>
          </cell>
          <cell r="G419">
            <v>3992</v>
          </cell>
          <cell r="H419">
            <v>1759</v>
          </cell>
          <cell r="I419">
            <v>44926</v>
          </cell>
          <cell r="J419">
            <v>1925</v>
          </cell>
          <cell r="K419">
            <v>1522</v>
          </cell>
        </row>
        <row r="420">
          <cell r="B420" t="str">
            <v>450-350-100</v>
          </cell>
          <cell r="C420" t="str">
            <v>Revenue</v>
          </cell>
          <cell r="D420" t="str">
            <v>Conditional - Prov - PDAP</v>
          </cell>
          <cell r="E420" t="str">
            <v>2022</v>
          </cell>
          <cell r="F420">
            <v>0</v>
          </cell>
          <cell r="G420">
            <v>0</v>
          </cell>
          <cell r="H420">
            <v>0</v>
          </cell>
          <cell r="I420">
            <v>44926</v>
          </cell>
          <cell r="J420">
            <v>0</v>
          </cell>
          <cell r="K420">
            <v>0</v>
          </cell>
        </row>
        <row r="421">
          <cell r="B421" t="str">
            <v>450-400-050</v>
          </cell>
          <cell r="C421" t="str">
            <v>Revenue</v>
          </cell>
          <cell r="D421" t="str">
            <v>Conditional - SPRA</v>
          </cell>
          <cell r="E421" t="str">
            <v>2022</v>
          </cell>
          <cell r="F421">
            <v>400</v>
          </cell>
          <cell r="G421">
            <v>400</v>
          </cell>
          <cell r="H421">
            <v>1200</v>
          </cell>
          <cell r="I421">
            <v>44926</v>
          </cell>
          <cell r="J421">
            <v>0</v>
          </cell>
          <cell r="K421">
            <v>0</v>
          </cell>
        </row>
        <row r="422">
          <cell r="B422" t="str">
            <v>450-430-100</v>
          </cell>
          <cell r="C422" t="str">
            <v>Revenue</v>
          </cell>
          <cell r="D422" t="str">
            <v>Conditional - SPRA</v>
          </cell>
          <cell r="E422" t="str">
            <v>2022</v>
          </cell>
          <cell r="F422">
            <v>0</v>
          </cell>
          <cell r="G422">
            <v>0</v>
          </cell>
          <cell r="H422">
            <v>1600</v>
          </cell>
          <cell r="I422">
            <v>44926</v>
          </cell>
          <cell r="J422">
            <v>0</v>
          </cell>
          <cell r="K422">
            <v>0</v>
          </cell>
        </row>
        <row r="423">
          <cell r="B423" t="str">
            <v>450-500-050</v>
          </cell>
          <cell r="C423" t="str">
            <v>Revenue</v>
          </cell>
          <cell r="D423" t="str">
            <v>GRANTS IN LIEU OF TAXES</v>
          </cell>
          <cell r="E423" t="str">
            <v>2022</v>
          </cell>
          <cell r="F423">
            <v>0</v>
          </cell>
          <cell r="G423">
            <v>0</v>
          </cell>
          <cell r="H423">
            <v>0</v>
          </cell>
          <cell r="I423">
            <v>44926</v>
          </cell>
          <cell r="J423">
            <v>0</v>
          </cell>
          <cell r="K423">
            <v>0</v>
          </cell>
        </row>
        <row r="424">
          <cell r="B424" t="str">
            <v>450-600-050</v>
          </cell>
          <cell r="C424" t="str">
            <v>Revenue</v>
          </cell>
          <cell r="D424" t="str">
            <v>GIL - Provincial</v>
          </cell>
          <cell r="E424" t="str">
            <v>2022</v>
          </cell>
          <cell r="F424">
            <v>0</v>
          </cell>
          <cell r="G424">
            <v>0</v>
          </cell>
          <cell r="H424">
            <v>0</v>
          </cell>
          <cell r="I424">
            <v>44926</v>
          </cell>
          <cell r="J424">
            <v>0</v>
          </cell>
          <cell r="K424">
            <v>0</v>
          </cell>
        </row>
        <row r="425">
          <cell r="B425" t="str">
            <v>460-100-050</v>
          </cell>
          <cell r="C425" t="str">
            <v>Revenue</v>
          </cell>
          <cell r="D425" t="str">
            <v>CAPITAL ASSET PROCEEDS</v>
          </cell>
          <cell r="E425" t="str">
            <v>2022</v>
          </cell>
          <cell r="F425">
            <v>0</v>
          </cell>
          <cell r="G425">
            <v>0</v>
          </cell>
          <cell r="H425">
            <v>0</v>
          </cell>
          <cell r="I425">
            <v>44926</v>
          </cell>
          <cell r="J425">
            <v>0</v>
          </cell>
          <cell r="K425">
            <v>0</v>
          </cell>
        </row>
        <row r="426">
          <cell r="B426" t="str">
            <v>460-100-100</v>
          </cell>
          <cell r="C426" t="str">
            <v>Revenue</v>
          </cell>
          <cell r="D426" t="str">
            <v>CA - Trade-in of Machinery</v>
          </cell>
          <cell r="E426" t="str">
            <v>2022</v>
          </cell>
          <cell r="F426">
            <v>0</v>
          </cell>
          <cell r="G426">
            <v>0</v>
          </cell>
          <cell r="H426">
            <v>0</v>
          </cell>
          <cell r="I426">
            <v>44926</v>
          </cell>
          <cell r="J426">
            <v>0</v>
          </cell>
          <cell r="K426">
            <v>0</v>
          </cell>
        </row>
        <row r="427">
          <cell r="B427" t="str">
            <v>460-100-200</v>
          </cell>
          <cell r="C427" t="str">
            <v>Revenue</v>
          </cell>
          <cell r="D427" t="str">
            <v>CA - Sale of Machinery</v>
          </cell>
          <cell r="E427" t="str">
            <v>2022</v>
          </cell>
          <cell r="F427">
            <v>0</v>
          </cell>
          <cell r="G427">
            <v>0</v>
          </cell>
          <cell r="H427">
            <v>0</v>
          </cell>
          <cell r="I427">
            <v>44926</v>
          </cell>
          <cell r="J427">
            <v>0</v>
          </cell>
          <cell r="K427">
            <v>0</v>
          </cell>
        </row>
        <row r="428">
          <cell r="B428" t="str">
            <v>460-120-100</v>
          </cell>
          <cell r="C428" t="str">
            <v>Revenue</v>
          </cell>
          <cell r="D428" t="str">
            <v>CA - Trade-in of Equipment</v>
          </cell>
          <cell r="E428" t="str">
            <v>2022</v>
          </cell>
          <cell r="F428">
            <v>0</v>
          </cell>
          <cell r="G428">
            <v>0</v>
          </cell>
          <cell r="H428">
            <v>0</v>
          </cell>
          <cell r="I428">
            <v>44926</v>
          </cell>
          <cell r="J428">
            <v>0</v>
          </cell>
          <cell r="K428">
            <v>0</v>
          </cell>
        </row>
        <row r="429">
          <cell r="B429" t="str">
            <v>460-120-200</v>
          </cell>
          <cell r="C429" t="str">
            <v>Revenue</v>
          </cell>
          <cell r="D429" t="str">
            <v>CA - Sale of Equipment</v>
          </cell>
          <cell r="E429" t="str">
            <v>2022</v>
          </cell>
          <cell r="F429">
            <v>0</v>
          </cell>
          <cell r="G429">
            <v>0</v>
          </cell>
          <cell r="H429">
            <v>0</v>
          </cell>
          <cell r="I429">
            <v>44926</v>
          </cell>
          <cell r="J429">
            <v>0</v>
          </cell>
          <cell r="K429">
            <v>0</v>
          </cell>
        </row>
        <row r="430">
          <cell r="B430" t="str">
            <v>460-130-100</v>
          </cell>
          <cell r="C430" t="str">
            <v>Revenue</v>
          </cell>
          <cell r="D430" t="str">
            <v>CA - Local Improvement Charges</v>
          </cell>
          <cell r="E430" t="str">
            <v>2022</v>
          </cell>
          <cell r="F430">
            <v>0</v>
          </cell>
          <cell r="G430">
            <v>0</v>
          </cell>
          <cell r="H430">
            <v>0</v>
          </cell>
          <cell r="I430">
            <v>44926</v>
          </cell>
          <cell r="J430">
            <v>0</v>
          </cell>
          <cell r="K430">
            <v>0</v>
          </cell>
        </row>
        <row r="431">
          <cell r="B431" t="str">
            <v>460-500-050</v>
          </cell>
          <cell r="C431" t="str">
            <v>Revenue</v>
          </cell>
          <cell r="D431" t="str">
            <v>LAND SALES</v>
          </cell>
          <cell r="E431" t="str">
            <v>2022</v>
          </cell>
          <cell r="F431">
            <v>0</v>
          </cell>
          <cell r="G431">
            <v>0</v>
          </cell>
          <cell r="H431">
            <v>0</v>
          </cell>
          <cell r="I431">
            <v>44926</v>
          </cell>
          <cell r="J431">
            <v>0</v>
          </cell>
          <cell r="K431">
            <v>0</v>
          </cell>
        </row>
        <row r="432">
          <cell r="B432" t="str">
            <v>460-500-100</v>
          </cell>
          <cell r="C432" t="str">
            <v>Revenue</v>
          </cell>
          <cell r="D432" t="str">
            <v>Land Sales - Gain/Loss</v>
          </cell>
          <cell r="E432" t="str">
            <v>2022</v>
          </cell>
          <cell r="F432">
            <v>0</v>
          </cell>
          <cell r="G432">
            <v>0</v>
          </cell>
          <cell r="H432">
            <v>0</v>
          </cell>
          <cell r="I432">
            <v>44926</v>
          </cell>
          <cell r="J432">
            <v>3202.85</v>
          </cell>
          <cell r="K432">
            <v>54834.66</v>
          </cell>
        </row>
        <row r="433">
          <cell r="B433" t="str">
            <v>460-500-110</v>
          </cell>
          <cell r="C433" t="str">
            <v>Revenue</v>
          </cell>
          <cell r="D433" t="str">
            <v>TS - Gain/Loss on Sale of TCA</v>
          </cell>
          <cell r="E433" t="str">
            <v>2022</v>
          </cell>
          <cell r="F433">
            <v>0</v>
          </cell>
          <cell r="G433">
            <v>0</v>
          </cell>
          <cell r="H433">
            <v>-21715.8</v>
          </cell>
          <cell r="I433">
            <v>44926</v>
          </cell>
        </row>
        <row r="434">
          <cell r="B434" t="str">
            <v>470-100-050</v>
          </cell>
          <cell r="C434" t="str">
            <v>Revenue</v>
          </cell>
          <cell r="D434" t="str">
            <v>INVESTMENT INCOME AND COMMISSIONS</v>
          </cell>
          <cell r="E434" t="str">
            <v>2022</v>
          </cell>
          <cell r="F434">
            <v>0</v>
          </cell>
          <cell r="G434">
            <v>0</v>
          </cell>
          <cell r="H434">
            <v>0</v>
          </cell>
          <cell r="I434">
            <v>44926</v>
          </cell>
          <cell r="J434">
            <v>0</v>
          </cell>
          <cell r="K434">
            <v>0</v>
          </cell>
        </row>
        <row r="435">
          <cell r="B435" t="str">
            <v>470-100-100</v>
          </cell>
          <cell r="C435" t="str">
            <v>Revenue</v>
          </cell>
          <cell r="D435" t="str">
            <v>Interest Revenue</v>
          </cell>
          <cell r="E435" t="str">
            <v>2022</v>
          </cell>
          <cell r="F435">
            <v>12206.02</v>
          </cell>
          <cell r="G435">
            <v>12206.02</v>
          </cell>
          <cell r="H435">
            <v>11119.07</v>
          </cell>
          <cell r="I435">
            <v>44926</v>
          </cell>
          <cell r="J435">
            <v>13777.18</v>
          </cell>
          <cell r="K435">
            <v>11997.61</v>
          </cell>
        </row>
        <row r="436">
          <cell r="B436" t="str">
            <v>470-120-100</v>
          </cell>
          <cell r="C436" t="str">
            <v>Revenue</v>
          </cell>
          <cell r="D436" t="str">
            <v>Dividends Revenue</v>
          </cell>
          <cell r="E436" t="str">
            <v>2022</v>
          </cell>
          <cell r="F436">
            <v>0</v>
          </cell>
          <cell r="G436">
            <v>0</v>
          </cell>
          <cell r="H436">
            <v>0</v>
          </cell>
          <cell r="I436">
            <v>44926</v>
          </cell>
          <cell r="J436">
            <v>0</v>
          </cell>
          <cell r="K436">
            <v>0</v>
          </cell>
        </row>
        <row r="437">
          <cell r="B437" t="str">
            <v>480-100-050</v>
          </cell>
          <cell r="C437" t="str">
            <v>Revenue</v>
          </cell>
          <cell r="D437" t="str">
            <v>OTHER REVENUES</v>
          </cell>
          <cell r="E437" t="str">
            <v>2022</v>
          </cell>
          <cell r="F437">
            <v>0</v>
          </cell>
          <cell r="G437">
            <v>0</v>
          </cell>
          <cell r="H437">
            <v>0</v>
          </cell>
          <cell r="I437">
            <v>44926</v>
          </cell>
          <cell r="J437">
            <v>0</v>
          </cell>
          <cell r="K437">
            <v>0</v>
          </cell>
        </row>
        <row r="438">
          <cell r="B438" t="str">
            <v>480-100-100</v>
          </cell>
          <cell r="C438" t="str">
            <v>Revenue</v>
          </cell>
          <cell r="D438" t="str">
            <v>Sask Lotteries</v>
          </cell>
          <cell r="E438" t="str">
            <v>2022</v>
          </cell>
          <cell r="F438">
            <v>0</v>
          </cell>
          <cell r="G438">
            <v>0</v>
          </cell>
          <cell r="H438">
            <v>1250</v>
          </cell>
          <cell r="I438">
            <v>44926</v>
          </cell>
          <cell r="J438">
            <v>0</v>
          </cell>
          <cell r="K438">
            <v>0</v>
          </cell>
        </row>
        <row r="439">
          <cell r="B439" t="str">
            <v>480-130-100</v>
          </cell>
          <cell r="C439" t="str">
            <v>Revenue</v>
          </cell>
          <cell r="D439" t="str">
            <v>TIP Grants</v>
          </cell>
          <cell r="E439" t="str">
            <v>2022</v>
          </cell>
          <cell r="F439">
            <v>0</v>
          </cell>
          <cell r="G439">
            <v>0</v>
          </cell>
          <cell r="H439">
            <v>0</v>
          </cell>
          <cell r="I439">
            <v>44926</v>
          </cell>
          <cell r="J439">
            <v>0</v>
          </cell>
          <cell r="K439">
            <v>0</v>
          </cell>
        </row>
        <row r="440">
          <cell r="B440" t="str">
            <v>480-150-100</v>
          </cell>
          <cell r="C440" t="str">
            <v>Revenue</v>
          </cell>
          <cell r="D440" t="str">
            <v>F&amp;C - Donations - Pool</v>
          </cell>
          <cell r="E440" t="str">
            <v>2022</v>
          </cell>
          <cell r="F440">
            <v>239.52</v>
          </cell>
          <cell r="G440">
            <v>239.52</v>
          </cell>
          <cell r="H440">
            <v>12645.9</v>
          </cell>
          <cell r="I440">
            <v>44926</v>
          </cell>
          <cell r="J440">
            <v>76510.36</v>
          </cell>
          <cell r="K440">
            <v>50</v>
          </cell>
        </row>
        <row r="441">
          <cell r="B441" t="str">
            <v>480-150-110</v>
          </cell>
          <cell r="C441" t="str">
            <v>Revenue</v>
          </cell>
          <cell r="D441" t="str">
            <v>F&amp;C - Donations - CG/SG &amp; Parks</v>
          </cell>
          <cell r="E441" t="str">
            <v>2022</v>
          </cell>
          <cell r="F441">
            <v>0.02</v>
          </cell>
          <cell r="G441">
            <v>0.02</v>
          </cell>
          <cell r="H441">
            <v>4100</v>
          </cell>
          <cell r="I441">
            <v>44926</v>
          </cell>
          <cell r="J441">
            <v>6431.27</v>
          </cell>
          <cell r="K441">
            <v>1700</v>
          </cell>
        </row>
        <row r="442">
          <cell r="B442" t="str">
            <v>480-150-120</v>
          </cell>
          <cell r="C442" t="str">
            <v>Revenue</v>
          </cell>
          <cell r="D442" t="str">
            <v>F&amp;C - Donations - Museum</v>
          </cell>
          <cell r="E442" t="str">
            <v>2022</v>
          </cell>
          <cell r="F442">
            <v>0</v>
          </cell>
          <cell r="G442">
            <v>0</v>
          </cell>
          <cell r="H442">
            <v>0</v>
          </cell>
          <cell r="I442">
            <v>44926</v>
          </cell>
          <cell r="J442">
            <v>0</v>
          </cell>
          <cell r="K442">
            <v>350</v>
          </cell>
        </row>
        <row r="443">
          <cell r="B443" t="str">
            <v>480-150-130</v>
          </cell>
          <cell r="C443" t="str">
            <v>Revenue</v>
          </cell>
          <cell r="D443" t="str">
            <v>F&amp;C - Donations - Cemetery</v>
          </cell>
          <cell r="E443" t="str">
            <v>2022</v>
          </cell>
          <cell r="F443">
            <v>0</v>
          </cell>
          <cell r="G443">
            <v>0</v>
          </cell>
          <cell r="H443">
            <v>250</v>
          </cell>
          <cell r="I443">
            <v>44926</v>
          </cell>
          <cell r="J443">
            <v>0</v>
          </cell>
          <cell r="K443">
            <v>2050</v>
          </cell>
        </row>
        <row r="444">
          <cell r="B444" t="str">
            <v>480-150-140</v>
          </cell>
          <cell r="C444" t="str">
            <v>Revenue</v>
          </cell>
          <cell r="D444" t="str">
            <v>F&amp;C - Donations - Rink</v>
          </cell>
          <cell r="E444" t="str">
            <v>2022</v>
          </cell>
          <cell r="F444">
            <v>2385</v>
          </cell>
          <cell r="G444">
            <v>2385</v>
          </cell>
          <cell r="H444">
            <v>59868.01</v>
          </cell>
          <cell r="I444">
            <v>44926</v>
          </cell>
          <cell r="J444">
            <v>11987.61</v>
          </cell>
          <cell r="K444">
            <v>0</v>
          </cell>
        </row>
        <row r="445">
          <cell r="B445" t="str">
            <v>480-150-150</v>
          </cell>
          <cell r="C445" t="str">
            <v>Revenue</v>
          </cell>
          <cell r="D445" t="str">
            <v>F&amp;C - Fundraising - Pool</v>
          </cell>
          <cell r="E445" t="str">
            <v>2022</v>
          </cell>
          <cell r="F445">
            <v>0</v>
          </cell>
          <cell r="G445">
            <v>0</v>
          </cell>
          <cell r="H445">
            <v>0</v>
          </cell>
          <cell r="I445">
            <v>44926</v>
          </cell>
          <cell r="J445">
            <v>0</v>
          </cell>
          <cell r="K445">
            <v>5008.17</v>
          </cell>
        </row>
        <row r="446">
          <cell r="B446" t="str">
            <v>480-150-190</v>
          </cell>
          <cell r="C446" t="str">
            <v>Revenue</v>
          </cell>
          <cell r="D446" t="str">
            <v>F&amp;C - Donations - Fire Dept</v>
          </cell>
          <cell r="E446" t="str">
            <v>2022</v>
          </cell>
          <cell r="F446">
            <v>0</v>
          </cell>
          <cell r="G446">
            <v>0</v>
          </cell>
          <cell r="H446">
            <v>975</v>
          </cell>
          <cell r="I446">
            <v>44926</v>
          </cell>
          <cell r="J446">
            <v>0</v>
          </cell>
        </row>
        <row r="447">
          <cell r="B447" t="str">
            <v>480-170-100</v>
          </cell>
          <cell r="C447" t="str">
            <v>Revenue</v>
          </cell>
          <cell r="D447" t="str">
            <v>F&amp;C - Housing Authority Surplus</v>
          </cell>
          <cell r="E447" t="str">
            <v>2022</v>
          </cell>
          <cell r="F447">
            <v>0</v>
          </cell>
          <cell r="G447">
            <v>0</v>
          </cell>
          <cell r="H447">
            <v>0</v>
          </cell>
          <cell r="I447">
            <v>44926</v>
          </cell>
          <cell r="J447">
            <v>0</v>
          </cell>
          <cell r="K447">
            <v>690.01</v>
          </cell>
        </row>
        <row r="448">
          <cell r="B448" t="str">
            <v>480-170-105</v>
          </cell>
          <cell r="C448" t="str">
            <v>Revenue</v>
          </cell>
          <cell r="D448" t="str">
            <v>F&amp;C - Fundraising &amp; Misc - Rink</v>
          </cell>
          <cell r="E448" t="str">
            <v>2022</v>
          </cell>
          <cell r="F448">
            <v>463.48</v>
          </cell>
          <cell r="G448">
            <v>463.48</v>
          </cell>
          <cell r="H448">
            <v>64094.080000000002</v>
          </cell>
          <cell r="I448">
            <v>44926</v>
          </cell>
          <cell r="J448">
            <v>117871.03999999999</v>
          </cell>
          <cell r="K448">
            <v>0</v>
          </cell>
        </row>
        <row r="449">
          <cell r="B449" t="str">
            <v>480-170-110</v>
          </cell>
          <cell r="C449" t="str">
            <v>Revenue</v>
          </cell>
          <cell r="D449" t="str">
            <v>F&amp;C - Fundraising/Special Events Revenue</v>
          </cell>
          <cell r="E449" t="str">
            <v>2022</v>
          </cell>
          <cell r="F449">
            <v>0</v>
          </cell>
          <cell r="G449">
            <v>0</v>
          </cell>
          <cell r="H449">
            <v>32.6</v>
          </cell>
          <cell r="I449">
            <v>44926</v>
          </cell>
          <cell r="J449">
            <v>0</v>
          </cell>
          <cell r="K449">
            <v>0</v>
          </cell>
        </row>
        <row r="450">
          <cell r="B450" t="str">
            <v>490-100-050</v>
          </cell>
          <cell r="C450" t="str">
            <v>Revenue</v>
          </cell>
          <cell r="D450" t="str">
            <v>INTERNAL TRANSFERS</v>
          </cell>
          <cell r="E450" t="str">
            <v>2022</v>
          </cell>
          <cell r="F450">
            <v>0</v>
          </cell>
          <cell r="G450">
            <v>0</v>
          </cell>
          <cell r="H450">
            <v>0</v>
          </cell>
          <cell r="I450">
            <v>44926</v>
          </cell>
          <cell r="J450">
            <v>0</v>
          </cell>
          <cell r="K450">
            <v>0</v>
          </cell>
        </row>
        <row r="451">
          <cell r="B451" t="str">
            <v>490-100-100</v>
          </cell>
          <cell r="C451" t="str">
            <v>Revenue</v>
          </cell>
          <cell r="D451" t="str">
            <v>Transfer from Reserves - Transportation</v>
          </cell>
          <cell r="E451" t="str">
            <v>2022</v>
          </cell>
          <cell r="F451">
            <v>0</v>
          </cell>
          <cell r="G451">
            <v>0</v>
          </cell>
          <cell r="H451">
            <v>0</v>
          </cell>
          <cell r="I451">
            <v>44926</v>
          </cell>
          <cell r="J451">
            <v>0</v>
          </cell>
          <cell r="K451">
            <v>0</v>
          </cell>
        </row>
        <row r="452">
          <cell r="B452" t="str">
            <v>490-100-105</v>
          </cell>
          <cell r="C452" t="str">
            <v>Revenue</v>
          </cell>
          <cell r="D452" t="str">
            <v>Transfer from Reserves - Fire</v>
          </cell>
          <cell r="E452" t="str">
            <v>2022</v>
          </cell>
          <cell r="F452">
            <v>0</v>
          </cell>
          <cell r="G452">
            <v>0</v>
          </cell>
          <cell r="H452">
            <v>20212.5</v>
          </cell>
          <cell r="I452">
            <v>44926</v>
          </cell>
          <cell r="J452">
            <v>0</v>
          </cell>
          <cell r="K452">
            <v>0</v>
          </cell>
        </row>
        <row r="453">
          <cell r="B453" t="str">
            <v>490-100-110</v>
          </cell>
          <cell r="C453" t="str">
            <v>Revenue</v>
          </cell>
          <cell r="D453" t="str">
            <v>Transfer from Reserves - Rec Centre</v>
          </cell>
          <cell r="E453" t="str">
            <v>2022</v>
          </cell>
          <cell r="F453">
            <v>0</v>
          </cell>
          <cell r="G453">
            <v>0</v>
          </cell>
          <cell r="H453">
            <v>66759.27</v>
          </cell>
          <cell r="I453">
            <v>44926</v>
          </cell>
          <cell r="J453">
            <v>50000</v>
          </cell>
          <cell r="K453">
            <v>20000</v>
          </cell>
        </row>
        <row r="454">
          <cell r="B454" t="str">
            <v>490-100-115</v>
          </cell>
          <cell r="C454" t="str">
            <v>Revenue</v>
          </cell>
          <cell r="D454" t="str">
            <v>Transfer from Reserves - PW</v>
          </cell>
          <cell r="E454" t="str">
            <v>2022</v>
          </cell>
          <cell r="F454">
            <v>0</v>
          </cell>
          <cell r="G454">
            <v>0</v>
          </cell>
          <cell r="H454">
            <v>0</v>
          </cell>
          <cell r="I454">
            <v>44926</v>
          </cell>
          <cell r="J454">
            <v>0</v>
          </cell>
          <cell r="K454">
            <v>0</v>
          </cell>
        </row>
        <row r="455">
          <cell r="B455" t="str">
            <v>490-100-120</v>
          </cell>
          <cell r="C455" t="str">
            <v>Revenue</v>
          </cell>
          <cell r="D455" t="str">
            <v>Transfer from Reserves - Pool</v>
          </cell>
          <cell r="E455" t="str">
            <v>2022</v>
          </cell>
          <cell r="F455">
            <v>0</v>
          </cell>
          <cell r="G455">
            <v>0</v>
          </cell>
          <cell r="H455">
            <v>0</v>
          </cell>
          <cell r="I455">
            <v>44926</v>
          </cell>
          <cell r="J455">
            <v>0</v>
          </cell>
          <cell r="K455">
            <v>0</v>
          </cell>
        </row>
        <row r="456">
          <cell r="B456" t="str">
            <v>490-100-125</v>
          </cell>
          <cell r="C456" t="str">
            <v>Revenue</v>
          </cell>
          <cell r="D456" t="str">
            <v>Transfer from Reserves - Park, CG &amp; SG</v>
          </cell>
          <cell r="E456" t="str">
            <v>2022</v>
          </cell>
          <cell r="F456">
            <v>0</v>
          </cell>
          <cell r="G456">
            <v>0</v>
          </cell>
          <cell r="H456">
            <v>0</v>
          </cell>
          <cell r="I456">
            <v>44926</v>
          </cell>
          <cell r="J456">
            <v>0</v>
          </cell>
          <cell r="K456">
            <v>0</v>
          </cell>
        </row>
        <row r="457">
          <cell r="B457" t="str">
            <v>490-100-130</v>
          </cell>
          <cell r="C457" t="str">
            <v>Revenue</v>
          </cell>
          <cell r="D457" t="str">
            <v>Transfer from Reserves - Cemetery</v>
          </cell>
          <cell r="E457" t="str">
            <v>2022</v>
          </cell>
          <cell r="F457">
            <v>0</v>
          </cell>
          <cell r="G457">
            <v>0</v>
          </cell>
          <cell r="H457">
            <v>2000</v>
          </cell>
          <cell r="I457">
            <v>44926</v>
          </cell>
          <cell r="J457">
            <v>12200</v>
          </cell>
          <cell r="K457">
            <v>11000</v>
          </cell>
        </row>
        <row r="458">
          <cell r="B458" t="str">
            <v>490-100-135</v>
          </cell>
          <cell r="C458" t="str">
            <v>Revenue</v>
          </cell>
          <cell r="D458" t="str">
            <v>Transfer from Reserves - Museum</v>
          </cell>
          <cell r="E458" t="str">
            <v>2022</v>
          </cell>
          <cell r="F458">
            <v>0</v>
          </cell>
          <cell r="G458">
            <v>0</v>
          </cell>
          <cell r="H458">
            <v>0</v>
          </cell>
          <cell r="I458">
            <v>44926</v>
          </cell>
          <cell r="J458">
            <v>0</v>
          </cell>
          <cell r="K458">
            <v>0</v>
          </cell>
        </row>
        <row r="459">
          <cell r="B459" t="str">
            <v>490-100-140</v>
          </cell>
          <cell r="C459" t="str">
            <v>Revenue</v>
          </cell>
          <cell r="D459" t="str">
            <v>Transfer from Reserves - Rec &amp; Gar</v>
          </cell>
          <cell r="E459" t="str">
            <v>2022</v>
          </cell>
          <cell r="F459">
            <v>0</v>
          </cell>
          <cell r="G459">
            <v>0</v>
          </cell>
          <cell r="H459">
            <v>-29</v>
          </cell>
          <cell r="I459">
            <v>44926</v>
          </cell>
          <cell r="J459">
            <v>1000</v>
          </cell>
          <cell r="K459">
            <v>0</v>
          </cell>
        </row>
        <row r="460">
          <cell r="B460" t="str">
            <v>490-100-145</v>
          </cell>
          <cell r="C460" t="str">
            <v>Revenue</v>
          </cell>
          <cell r="D460" t="str">
            <v>Transfer from Reserves - Rec Director</v>
          </cell>
          <cell r="E460" t="str">
            <v>2022</v>
          </cell>
          <cell r="F460">
            <v>0</v>
          </cell>
          <cell r="G460">
            <v>0</v>
          </cell>
          <cell r="H460">
            <v>3689</v>
          </cell>
          <cell r="I460">
            <v>44926</v>
          </cell>
          <cell r="J460">
            <v>0</v>
          </cell>
        </row>
        <row r="461">
          <cell r="B461" t="str">
            <v>490-100-150</v>
          </cell>
          <cell r="C461" t="str">
            <v>Revenue</v>
          </cell>
          <cell r="D461" t="str">
            <v>Transfer from Reserves - Streets &amp; Storm</v>
          </cell>
          <cell r="E461" t="str">
            <v>2022</v>
          </cell>
          <cell r="F461">
            <v>0</v>
          </cell>
          <cell r="G461">
            <v>0</v>
          </cell>
          <cell r="H461">
            <v>0</v>
          </cell>
          <cell r="I461">
            <v>44926</v>
          </cell>
          <cell r="J461">
            <v>58000</v>
          </cell>
          <cell r="K461">
            <v>0</v>
          </cell>
        </row>
        <row r="462">
          <cell r="B462" t="str">
            <v>490-100-155</v>
          </cell>
          <cell r="C462" t="str">
            <v>Revenue</v>
          </cell>
          <cell r="D462" t="str">
            <v>Transfer from Reserves - Shop &amp; Yard</v>
          </cell>
          <cell r="E462" t="str">
            <v>2022</v>
          </cell>
          <cell r="F462">
            <v>0</v>
          </cell>
          <cell r="G462">
            <v>0</v>
          </cell>
          <cell r="H462">
            <v>0</v>
          </cell>
          <cell r="I462">
            <v>44926</v>
          </cell>
          <cell r="J462">
            <v>0</v>
          </cell>
        </row>
        <row r="463">
          <cell r="B463" t="str">
            <v>490-100-160</v>
          </cell>
          <cell r="C463" t="str">
            <v>Revenue</v>
          </cell>
          <cell r="D463" t="str">
            <v>Transfer from Reserves - Transportation</v>
          </cell>
          <cell r="E463" t="str">
            <v>2022</v>
          </cell>
          <cell r="F463">
            <v>0</v>
          </cell>
          <cell r="G463">
            <v>0</v>
          </cell>
          <cell r="H463">
            <v>136900</v>
          </cell>
          <cell r="I463">
            <v>44926</v>
          </cell>
          <cell r="J463">
            <v>50000</v>
          </cell>
          <cell r="K463">
            <v>20000</v>
          </cell>
        </row>
        <row r="464">
          <cell r="B464" t="str">
            <v>490-100-170</v>
          </cell>
          <cell r="C464" t="str">
            <v>Revenue</v>
          </cell>
          <cell r="D464" t="str">
            <v>Transfer from Reserves - Water &amp; WTP</v>
          </cell>
          <cell r="E464" t="str">
            <v>2022</v>
          </cell>
          <cell r="F464">
            <v>0</v>
          </cell>
          <cell r="G464">
            <v>0</v>
          </cell>
          <cell r="H464">
            <v>24110</v>
          </cell>
          <cell r="I464">
            <v>44926</v>
          </cell>
          <cell r="J464">
            <v>0</v>
          </cell>
          <cell r="K464">
            <v>0</v>
          </cell>
        </row>
        <row r="465">
          <cell r="B465" t="str">
            <v>490-100-180</v>
          </cell>
          <cell r="C465" t="str">
            <v>Revenue</v>
          </cell>
          <cell r="D465" t="str">
            <v>Transfer from Reserves - Sewer &amp; WWTP</v>
          </cell>
          <cell r="E465" t="str">
            <v>2022</v>
          </cell>
          <cell r="F465">
            <v>0</v>
          </cell>
          <cell r="G465">
            <v>0</v>
          </cell>
          <cell r="H465">
            <v>173092.97</v>
          </cell>
          <cell r="I465">
            <v>44926</v>
          </cell>
          <cell r="J465">
            <v>0</v>
          </cell>
          <cell r="K465">
            <v>125329.9</v>
          </cell>
        </row>
        <row r="466">
          <cell r="B466" t="str">
            <v>490-100-190</v>
          </cell>
          <cell r="C466" t="str">
            <v>Revenue</v>
          </cell>
          <cell r="D466" t="str">
            <v>Transfer from Reserves - Admin</v>
          </cell>
          <cell r="E466" t="str">
            <v>2022</v>
          </cell>
          <cell r="F466">
            <v>0</v>
          </cell>
          <cell r="G466">
            <v>0</v>
          </cell>
          <cell r="H466">
            <v>20249.330000000002</v>
          </cell>
          <cell r="I466">
            <v>44926</v>
          </cell>
          <cell r="J466">
            <v>0</v>
          </cell>
        </row>
        <row r="467">
          <cell r="B467" t="str">
            <v>490-100-195</v>
          </cell>
          <cell r="C467" t="str">
            <v>Revenue</v>
          </cell>
          <cell r="D467" t="str">
            <v>Transfer from Reserves - PS</v>
          </cell>
          <cell r="E467" t="str">
            <v>2022</v>
          </cell>
          <cell r="F467">
            <v>0</v>
          </cell>
          <cell r="G467">
            <v>0</v>
          </cell>
          <cell r="H467">
            <v>0</v>
          </cell>
          <cell r="I467">
            <v>44926</v>
          </cell>
        </row>
        <row r="468">
          <cell r="B468" t="str">
            <v>490-100-200</v>
          </cell>
          <cell r="C468" t="str">
            <v>Revenue</v>
          </cell>
          <cell r="D468" t="str">
            <v>Transfer from Reserves - Development</v>
          </cell>
          <cell r="E468" t="str">
            <v>2022</v>
          </cell>
          <cell r="F468">
            <v>0</v>
          </cell>
          <cell r="G468">
            <v>0</v>
          </cell>
          <cell r="H468">
            <v>0</v>
          </cell>
          <cell r="I468">
            <v>44926</v>
          </cell>
        </row>
        <row r="469">
          <cell r="B469" t="str">
            <v>490-120-100</v>
          </cell>
          <cell r="C469" t="str">
            <v>Revenue</v>
          </cell>
          <cell r="D469" t="str">
            <v>Transfer from Surplus</v>
          </cell>
          <cell r="E469" t="str">
            <v>2022</v>
          </cell>
          <cell r="F469">
            <v>0</v>
          </cell>
          <cell r="G469">
            <v>0</v>
          </cell>
          <cell r="H469">
            <v>0</v>
          </cell>
          <cell r="I469">
            <v>44926</v>
          </cell>
          <cell r="J469">
            <v>0</v>
          </cell>
          <cell r="K469">
            <v>0</v>
          </cell>
        </row>
        <row r="470">
          <cell r="B470" t="str">
            <v>490-130-100</v>
          </cell>
          <cell r="C470" t="str">
            <v>Revenue</v>
          </cell>
          <cell r="D470" t="str">
            <v>Transfer from Allowances</v>
          </cell>
          <cell r="E470" t="str">
            <v>2022</v>
          </cell>
          <cell r="F470">
            <v>0</v>
          </cell>
          <cell r="G470">
            <v>0</v>
          </cell>
          <cell r="H470">
            <v>0</v>
          </cell>
          <cell r="I470">
            <v>44926</v>
          </cell>
          <cell r="J470">
            <v>0</v>
          </cell>
          <cell r="K470">
            <v>0</v>
          </cell>
        </row>
        <row r="471">
          <cell r="B471" t="str">
            <v>490-140-100</v>
          </cell>
          <cell r="C471" t="str">
            <v>Revenue</v>
          </cell>
          <cell r="D471" t="str">
            <v>Transfer from Capital Fund</v>
          </cell>
          <cell r="E471" t="str">
            <v>2022</v>
          </cell>
          <cell r="F471">
            <v>0</v>
          </cell>
          <cell r="G471">
            <v>0</v>
          </cell>
          <cell r="H471">
            <v>0</v>
          </cell>
          <cell r="I471">
            <v>44926</v>
          </cell>
          <cell r="J471">
            <v>0</v>
          </cell>
          <cell r="K471">
            <v>0</v>
          </cell>
        </row>
        <row r="472">
          <cell r="B472" t="str">
            <v>490-150-100</v>
          </cell>
          <cell r="C472" t="str">
            <v>Revenue</v>
          </cell>
          <cell r="D472" t="str">
            <v>Transfer from Capital Trust</v>
          </cell>
          <cell r="E472" t="str">
            <v>2022</v>
          </cell>
          <cell r="F472">
            <v>0</v>
          </cell>
          <cell r="G472">
            <v>0</v>
          </cell>
          <cell r="H472">
            <v>0</v>
          </cell>
          <cell r="I472">
            <v>44926</v>
          </cell>
          <cell r="J472">
            <v>0</v>
          </cell>
          <cell r="K472">
            <v>0</v>
          </cell>
        </row>
        <row r="473">
          <cell r="B473" t="str">
            <v>490-190-100</v>
          </cell>
          <cell r="C473" t="str">
            <v>Revenue</v>
          </cell>
          <cell r="D473" t="str">
            <v>Transfer from Other Funds</v>
          </cell>
          <cell r="E473" t="str">
            <v>2022</v>
          </cell>
          <cell r="F473">
            <v>0</v>
          </cell>
          <cell r="G473">
            <v>0</v>
          </cell>
          <cell r="H473">
            <v>0</v>
          </cell>
          <cell r="I473">
            <v>44926</v>
          </cell>
          <cell r="J473">
            <v>0</v>
          </cell>
          <cell r="K473">
            <v>0</v>
          </cell>
        </row>
        <row r="474">
          <cell r="B474" t="str">
            <v>490-500-100</v>
          </cell>
          <cell r="C474" t="str">
            <v>Revenue</v>
          </cell>
          <cell r="D474" t="str">
            <v>Transfer from Municipal Utilities</v>
          </cell>
          <cell r="E474" t="str">
            <v>2022</v>
          </cell>
          <cell r="F474">
            <v>0</v>
          </cell>
          <cell r="G474">
            <v>0</v>
          </cell>
          <cell r="H474">
            <v>0</v>
          </cell>
          <cell r="I474">
            <v>44926</v>
          </cell>
          <cell r="J474">
            <v>0</v>
          </cell>
          <cell r="K474">
            <v>0</v>
          </cell>
        </row>
        <row r="475">
          <cell r="B475" t="str">
            <v>490-900-100</v>
          </cell>
          <cell r="C475" t="str">
            <v>Revenue</v>
          </cell>
          <cell r="D475" t="str">
            <v>Other</v>
          </cell>
          <cell r="E475" t="str">
            <v>2022</v>
          </cell>
          <cell r="F475">
            <v>0</v>
          </cell>
          <cell r="G475">
            <v>0</v>
          </cell>
          <cell r="H475">
            <v>0</v>
          </cell>
          <cell r="I475">
            <v>44926</v>
          </cell>
          <cell r="J475">
            <v>0</v>
          </cell>
          <cell r="K475">
            <v>0</v>
          </cell>
        </row>
        <row r="476">
          <cell r="B476" t="str">
            <v>490-900-105</v>
          </cell>
          <cell r="C476" t="str">
            <v>Revenue</v>
          </cell>
          <cell r="D476" t="str">
            <v xml:space="preserve">Other Revenue                           </v>
          </cell>
          <cell r="E476" t="str">
            <v>2022</v>
          </cell>
          <cell r="F476">
            <v>0</v>
          </cell>
          <cell r="G476">
            <v>0</v>
          </cell>
          <cell r="H476">
            <v>0</v>
          </cell>
          <cell r="I476">
            <v>44926</v>
          </cell>
          <cell r="J476">
            <v>0</v>
          </cell>
          <cell r="K476">
            <v>0</v>
          </cell>
        </row>
        <row r="477">
          <cell r="B477" t="str">
            <v>495-100-050</v>
          </cell>
          <cell r="C477" t="str">
            <v>Revenue</v>
          </cell>
          <cell r="D477" t="str">
            <v>LONG TERM DEBT ISSUED</v>
          </cell>
          <cell r="E477" t="str">
            <v>2022</v>
          </cell>
          <cell r="F477">
            <v>0</v>
          </cell>
          <cell r="G477">
            <v>0</v>
          </cell>
          <cell r="H477">
            <v>0</v>
          </cell>
          <cell r="I477">
            <v>44926</v>
          </cell>
          <cell r="J477">
            <v>0</v>
          </cell>
          <cell r="K477">
            <v>0</v>
          </cell>
        </row>
        <row r="478">
          <cell r="B478" t="str">
            <v>495-100-100</v>
          </cell>
          <cell r="C478" t="str">
            <v>Revenue</v>
          </cell>
          <cell r="D478" t="str">
            <v>Long Term Debt Issued</v>
          </cell>
          <cell r="E478" t="str">
            <v>2022</v>
          </cell>
          <cell r="F478">
            <v>0</v>
          </cell>
          <cell r="G478">
            <v>0</v>
          </cell>
          <cell r="H478">
            <v>0</v>
          </cell>
          <cell r="I478">
            <v>44926</v>
          </cell>
          <cell r="J478">
            <v>0</v>
          </cell>
          <cell r="K478">
            <v>0</v>
          </cell>
        </row>
        <row r="479">
          <cell r="B479" t="str">
            <v>500-100-050</v>
          </cell>
          <cell r="C479" t="str">
            <v>Expenditure</v>
          </cell>
          <cell r="D479" t="str">
            <v>EXPENSE</v>
          </cell>
          <cell r="E479" t="str">
            <v>2022</v>
          </cell>
          <cell r="F479">
            <v>0</v>
          </cell>
          <cell r="G479">
            <v>0</v>
          </cell>
          <cell r="H479">
            <v>0</v>
          </cell>
          <cell r="I479">
            <v>44926</v>
          </cell>
          <cell r="J479">
            <v>0</v>
          </cell>
          <cell r="K479">
            <v>0</v>
          </cell>
        </row>
        <row r="480">
          <cell r="B480" t="str">
            <v>510-100-050</v>
          </cell>
          <cell r="C480" t="str">
            <v>Expenditure</v>
          </cell>
          <cell r="D480" t="str">
            <v>GENERAL GOV'T. SERVICE</v>
          </cell>
          <cell r="E480" t="str">
            <v>2022</v>
          </cell>
          <cell r="F480">
            <v>0</v>
          </cell>
          <cell r="G480">
            <v>0</v>
          </cell>
          <cell r="H480">
            <v>0</v>
          </cell>
          <cell r="I480">
            <v>44926</v>
          </cell>
          <cell r="J480">
            <v>0</v>
          </cell>
          <cell r="K480">
            <v>0</v>
          </cell>
        </row>
        <row r="481">
          <cell r="B481" t="str">
            <v>510-110-050</v>
          </cell>
          <cell r="C481" t="str">
            <v>Expenditure</v>
          </cell>
          <cell r="D481" t="str">
            <v>GG - WAGES &amp; BENEFITS</v>
          </cell>
          <cell r="E481" t="str">
            <v>2022</v>
          </cell>
          <cell r="F481">
            <v>0</v>
          </cell>
          <cell r="G481">
            <v>0</v>
          </cell>
          <cell r="H481">
            <v>0</v>
          </cell>
          <cell r="I481">
            <v>44926</v>
          </cell>
          <cell r="J481">
            <v>0</v>
          </cell>
          <cell r="K481">
            <v>0</v>
          </cell>
        </row>
        <row r="482">
          <cell r="B482" t="str">
            <v>510-110-100</v>
          </cell>
          <cell r="C482" t="str">
            <v>Expenditure</v>
          </cell>
          <cell r="D482" t="str">
            <v>GG - WAGES</v>
          </cell>
          <cell r="E482" t="str">
            <v>2022</v>
          </cell>
          <cell r="F482">
            <v>0</v>
          </cell>
          <cell r="G482">
            <v>0</v>
          </cell>
          <cell r="H482">
            <v>0</v>
          </cell>
          <cell r="I482">
            <v>44926</v>
          </cell>
          <cell r="J482">
            <v>0</v>
          </cell>
          <cell r="K482">
            <v>0</v>
          </cell>
        </row>
        <row r="483">
          <cell r="B483" t="str">
            <v>510-110-110</v>
          </cell>
          <cell r="C483" t="str">
            <v>Expenditure</v>
          </cell>
          <cell r="D483" t="str">
            <v>GG - Council - Indemnity</v>
          </cell>
          <cell r="E483" t="str">
            <v>2022</v>
          </cell>
          <cell r="F483">
            <v>17220</v>
          </cell>
          <cell r="G483">
            <v>17220</v>
          </cell>
          <cell r="H483">
            <v>44564</v>
          </cell>
          <cell r="I483">
            <v>44926</v>
          </cell>
          <cell r="J483">
            <v>25248.92</v>
          </cell>
          <cell r="K483">
            <v>32310</v>
          </cell>
        </row>
        <row r="484">
          <cell r="B484" t="str">
            <v>510-110-230</v>
          </cell>
          <cell r="C484" t="str">
            <v>Expenditure</v>
          </cell>
          <cell r="D484" t="str">
            <v>GG - Office Wages</v>
          </cell>
          <cell r="E484" t="str">
            <v>2022</v>
          </cell>
          <cell r="F484">
            <v>113921.99</v>
          </cell>
          <cell r="G484">
            <v>113921.99</v>
          </cell>
          <cell r="H484">
            <v>181765.63</v>
          </cell>
          <cell r="I484">
            <v>44926</v>
          </cell>
          <cell r="J484">
            <v>175757.49</v>
          </cell>
          <cell r="K484">
            <v>161471.54</v>
          </cell>
        </row>
        <row r="485">
          <cell r="B485" t="str">
            <v>510-120-100</v>
          </cell>
          <cell r="C485" t="str">
            <v>Expenditure</v>
          </cell>
          <cell r="D485" t="str">
            <v>GG - BENEFITS</v>
          </cell>
          <cell r="E485" t="str">
            <v>2022</v>
          </cell>
          <cell r="F485">
            <v>0</v>
          </cell>
          <cell r="G485">
            <v>0</v>
          </cell>
          <cell r="H485">
            <v>0</v>
          </cell>
          <cell r="I485">
            <v>44926</v>
          </cell>
          <cell r="J485">
            <v>0</v>
          </cell>
          <cell r="K485">
            <v>0</v>
          </cell>
        </row>
        <row r="486">
          <cell r="B486" t="str">
            <v>510-120-110</v>
          </cell>
          <cell r="C486" t="str">
            <v>Expenditure</v>
          </cell>
          <cell r="D486" t="str">
            <v>GG - Council - Benefits - CPP</v>
          </cell>
          <cell r="E486" t="str">
            <v>2022</v>
          </cell>
          <cell r="F486">
            <v>415.83</v>
          </cell>
          <cell r="G486">
            <v>415.83</v>
          </cell>
          <cell r="H486">
            <v>839.63</v>
          </cell>
          <cell r="I486">
            <v>44926</v>
          </cell>
          <cell r="J486">
            <v>397.11</v>
          </cell>
          <cell r="K486">
            <v>504.24</v>
          </cell>
        </row>
        <row r="487">
          <cell r="B487" t="str">
            <v>510-120-111</v>
          </cell>
          <cell r="C487" t="str">
            <v>Expenditure</v>
          </cell>
          <cell r="D487" t="str">
            <v>GG - Council - Benefits - EI</v>
          </cell>
          <cell r="E487" t="str">
            <v>2022</v>
          </cell>
          <cell r="F487">
            <v>0</v>
          </cell>
          <cell r="G487">
            <v>0</v>
          </cell>
          <cell r="H487">
            <v>0</v>
          </cell>
          <cell r="I487">
            <v>44926</v>
          </cell>
          <cell r="J487">
            <v>0</v>
          </cell>
          <cell r="K487">
            <v>301.14</v>
          </cell>
        </row>
        <row r="488">
          <cell r="B488" t="str">
            <v>510-120-115</v>
          </cell>
          <cell r="C488" t="str">
            <v>Expenditure</v>
          </cell>
          <cell r="D488" t="str">
            <v>GG - Council - Benefits - Group</v>
          </cell>
          <cell r="E488" t="str">
            <v>2022</v>
          </cell>
          <cell r="F488">
            <v>3092.94</v>
          </cell>
          <cell r="G488">
            <v>3092.94</v>
          </cell>
          <cell r="H488">
            <v>4682.9399999999996</v>
          </cell>
          <cell r="I488">
            <v>44926</v>
          </cell>
          <cell r="J488">
            <v>4226.55</v>
          </cell>
          <cell r="K488">
            <v>3193.87</v>
          </cell>
        </row>
        <row r="489">
          <cell r="B489" t="str">
            <v>510-130-231</v>
          </cell>
          <cell r="C489" t="str">
            <v>Expenditure</v>
          </cell>
          <cell r="D489" t="str">
            <v>GG - Benefits - CPP</v>
          </cell>
          <cell r="E489" t="str">
            <v>2022</v>
          </cell>
          <cell r="F489">
            <v>6081.04</v>
          </cell>
          <cell r="G489">
            <v>6081.04</v>
          </cell>
          <cell r="H489">
            <v>7665.81</v>
          </cell>
          <cell r="I489">
            <v>44926</v>
          </cell>
          <cell r="J489">
            <v>7029.99</v>
          </cell>
          <cell r="K489">
            <v>4315.84</v>
          </cell>
        </row>
        <row r="490">
          <cell r="B490" t="str">
            <v>510-130-232</v>
          </cell>
          <cell r="C490" t="str">
            <v>Expenditure</v>
          </cell>
          <cell r="D490" t="str">
            <v>GG - Benefits - EI</v>
          </cell>
          <cell r="E490" t="str">
            <v>2022</v>
          </cell>
          <cell r="F490">
            <v>2444.8000000000002</v>
          </cell>
          <cell r="G490">
            <v>2444.8000000000002</v>
          </cell>
          <cell r="H490">
            <v>2821.21</v>
          </cell>
          <cell r="I490">
            <v>44926</v>
          </cell>
          <cell r="J490">
            <v>2759.81</v>
          </cell>
          <cell r="K490">
            <v>3973.08</v>
          </cell>
        </row>
        <row r="491">
          <cell r="B491" t="str">
            <v>510-130-233</v>
          </cell>
          <cell r="C491" t="str">
            <v>Expenditure</v>
          </cell>
          <cell r="D491" t="str">
            <v>GG - Benefits - MEPP</v>
          </cell>
          <cell r="E491" t="str">
            <v>2022</v>
          </cell>
          <cell r="F491">
            <v>9828.02</v>
          </cell>
          <cell r="G491">
            <v>9828.02</v>
          </cell>
          <cell r="H491">
            <v>16101.78</v>
          </cell>
          <cell r="I491">
            <v>44926</v>
          </cell>
          <cell r="J491">
            <v>15769.25</v>
          </cell>
          <cell r="K491">
            <v>15884.36</v>
          </cell>
        </row>
        <row r="492">
          <cell r="B492" t="str">
            <v>510-130-234</v>
          </cell>
          <cell r="C492" t="str">
            <v>Expenditure</v>
          </cell>
          <cell r="D492" t="str">
            <v>GG - Benefits - Worker Compensation</v>
          </cell>
          <cell r="E492" t="str">
            <v>2022</v>
          </cell>
          <cell r="F492">
            <v>3070.8</v>
          </cell>
          <cell r="G492">
            <v>3070.8</v>
          </cell>
          <cell r="H492">
            <v>2921.19</v>
          </cell>
          <cell r="I492">
            <v>44926</v>
          </cell>
          <cell r="J492">
            <v>3218.08</v>
          </cell>
          <cell r="K492">
            <v>743.86</v>
          </cell>
        </row>
        <row r="493">
          <cell r="B493" t="str">
            <v>510-130-235</v>
          </cell>
          <cell r="C493" t="str">
            <v>Expenditure</v>
          </cell>
          <cell r="D493" t="str">
            <v>GG - Group Benefits</v>
          </cell>
          <cell r="E493" t="str">
            <v>2022</v>
          </cell>
          <cell r="F493">
            <v>6405.01</v>
          </cell>
          <cell r="G493">
            <v>6405.01</v>
          </cell>
          <cell r="H493">
            <v>11708.96</v>
          </cell>
          <cell r="I493">
            <v>44926</v>
          </cell>
          <cell r="J493">
            <v>13391.47</v>
          </cell>
          <cell r="K493">
            <v>12739.65</v>
          </cell>
        </row>
        <row r="494">
          <cell r="B494" t="str">
            <v>510-130-236</v>
          </cell>
          <cell r="C494" t="str">
            <v>Expenditure</v>
          </cell>
          <cell r="D494" t="str">
            <v>GG - WCB - Post Office</v>
          </cell>
          <cell r="E494" t="str">
            <v>2022</v>
          </cell>
          <cell r="F494">
            <v>0</v>
          </cell>
          <cell r="G494">
            <v>0</v>
          </cell>
          <cell r="H494">
            <v>0</v>
          </cell>
          <cell r="I494">
            <v>44926</v>
          </cell>
          <cell r="J494">
            <v>0</v>
          </cell>
          <cell r="K494">
            <v>73.849999999999994</v>
          </cell>
        </row>
        <row r="495">
          <cell r="B495" t="str">
            <v>510-200-100</v>
          </cell>
          <cell r="C495" t="str">
            <v>Expenditure</v>
          </cell>
          <cell r="D495" t="str">
            <v>GG - PROF/CONTRACT SERVICES</v>
          </cell>
          <cell r="E495" t="str">
            <v>2022</v>
          </cell>
          <cell r="F495">
            <v>0</v>
          </cell>
          <cell r="G495">
            <v>0</v>
          </cell>
          <cell r="H495">
            <v>0</v>
          </cell>
          <cell r="I495">
            <v>44926</v>
          </cell>
          <cell r="J495">
            <v>0</v>
          </cell>
          <cell r="K495">
            <v>0</v>
          </cell>
        </row>
        <row r="496">
          <cell r="B496" t="str">
            <v>510-200-110</v>
          </cell>
          <cell r="C496" t="str">
            <v>Expenditure</v>
          </cell>
          <cell r="D496" t="str">
            <v>GG - Cont. - Legal</v>
          </cell>
          <cell r="E496" t="str">
            <v>2022</v>
          </cell>
          <cell r="F496">
            <v>4459.95</v>
          </cell>
          <cell r="G496">
            <v>4459.95</v>
          </cell>
          <cell r="H496">
            <v>8942.34</v>
          </cell>
          <cell r="I496">
            <v>44926</v>
          </cell>
          <cell r="J496">
            <v>4766.3</v>
          </cell>
          <cell r="K496">
            <v>8309.6299999999992</v>
          </cell>
        </row>
        <row r="497">
          <cell r="B497" t="str">
            <v>510-200-130</v>
          </cell>
          <cell r="C497" t="str">
            <v>Expenditure</v>
          </cell>
          <cell r="D497" t="str">
            <v>GG - Cont. - Audit/Accounting</v>
          </cell>
          <cell r="E497" t="str">
            <v>2022</v>
          </cell>
          <cell r="F497">
            <v>8957</v>
          </cell>
          <cell r="G497">
            <v>8957</v>
          </cell>
          <cell r="H497">
            <v>10637.1</v>
          </cell>
          <cell r="I497">
            <v>44926</v>
          </cell>
          <cell r="J497">
            <v>10950.7</v>
          </cell>
          <cell r="K497">
            <v>26597.09</v>
          </cell>
        </row>
        <row r="498">
          <cell r="B498" t="str">
            <v>510-200-150</v>
          </cell>
          <cell r="C498" t="str">
            <v>Expenditure</v>
          </cell>
          <cell r="D498" t="str">
            <v>GG - Cont. - Assessment - SAMA</v>
          </cell>
          <cell r="E498" t="str">
            <v>2022</v>
          </cell>
          <cell r="F498">
            <v>20286</v>
          </cell>
          <cell r="G498">
            <v>20286</v>
          </cell>
          <cell r="H498">
            <v>21007</v>
          </cell>
          <cell r="I498">
            <v>44926</v>
          </cell>
          <cell r="J498">
            <v>19871</v>
          </cell>
          <cell r="K498">
            <v>19593</v>
          </cell>
        </row>
        <row r="499">
          <cell r="B499" t="str">
            <v>510-200-160</v>
          </cell>
          <cell r="C499" t="str">
            <v>Expenditure</v>
          </cell>
          <cell r="D499" t="str">
            <v>GG - Cont. - Asset Management</v>
          </cell>
          <cell r="E499" t="str">
            <v>2022</v>
          </cell>
          <cell r="F499">
            <v>58757.95</v>
          </cell>
          <cell r="G499">
            <v>58757.95</v>
          </cell>
          <cell r="H499">
            <v>18159.650000000001</v>
          </cell>
          <cell r="I499">
            <v>44926</v>
          </cell>
          <cell r="J499">
            <v>6342.97</v>
          </cell>
          <cell r="K499">
            <v>5618.34</v>
          </cell>
        </row>
        <row r="500">
          <cell r="B500" t="str">
            <v>510-200-170</v>
          </cell>
          <cell r="C500" t="str">
            <v>Expenditure</v>
          </cell>
          <cell r="D500" t="str">
            <v>GG - Cont. - Advertising &amp; Promotion</v>
          </cell>
          <cell r="E500" t="str">
            <v>2022</v>
          </cell>
          <cell r="F500">
            <v>5167.75</v>
          </cell>
          <cell r="G500">
            <v>5167.75</v>
          </cell>
          <cell r="H500">
            <v>2490.5100000000002</v>
          </cell>
          <cell r="I500">
            <v>44926</v>
          </cell>
          <cell r="J500">
            <v>1998.88</v>
          </cell>
          <cell r="K500">
            <v>4164.3500000000004</v>
          </cell>
        </row>
        <row r="501">
          <cell r="B501" t="str">
            <v>510-210-110</v>
          </cell>
          <cell r="C501" t="str">
            <v>Expenditure</v>
          </cell>
          <cell r="D501" t="str">
            <v>GG - Council Travel &amp; Meals</v>
          </cell>
          <cell r="E501" t="str">
            <v>2022</v>
          </cell>
          <cell r="F501">
            <v>1225</v>
          </cell>
          <cell r="G501">
            <v>1225</v>
          </cell>
          <cell r="H501">
            <v>1699.5</v>
          </cell>
          <cell r="I501">
            <v>44926</v>
          </cell>
          <cell r="J501">
            <v>2025</v>
          </cell>
          <cell r="K501">
            <v>1330</v>
          </cell>
        </row>
        <row r="502">
          <cell r="B502" t="str">
            <v>510-210-140</v>
          </cell>
          <cell r="C502" t="str">
            <v>Expenditure</v>
          </cell>
          <cell r="D502" t="str">
            <v>GG - Council - Conferences/Travel/Meals</v>
          </cell>
          <cell r="E502" t="str">
            <v>2022</v>
          </cell>
          <cell r="F502">
            <v>1927.08</v>
          </cell>
          <cell r="G502">
            <v>1927.08</v>
          </cell>
          <cell r="H502">
            <v>160</v>
          </cell>
          <cell r="I502">
            <v>44926</v>
          </cell>
          <cell r="J502">
            <v>869.5</v>
          </cell>
          <cell r="K502">
            <v>0</v>
          </cell>
        </row>
        <row r="503">
          <cell r="B503" t="str">
            <v>510-210-150</v>
          </cell>
          <cell r="C503" t="str">
            <v>Expenditure</v>
          </cell>
          <cell r="D503" t="str">
            <v>GG - Council - Convention/Travel/Meals</v>
          </cell>
          <cell r="E503" t="str">
            <v>2022</v>
          </cell>
          <cell r="F503">
            <v>3102.73</v>
          </cell>
          <cell r="G503">
            <v>3102.73</v>
          </cell>
          <cell r="H503">
            <v>0</v>
          </cell>
          <cell r="I503">
            <v>44926</v>
          </cell>
          <cell r="J503">
            <v>1935</v>
          </cell>
          <cell r="K503">
            <v>5604.02</v>
          </cell>
        </row>
        <row r="504">
          <cell r="B504" t="str">
            <v>510-210-160</v>
          </cell>
          <cell r="C504" t="str">
            <v>Expenditure</v>
          </cell>
          <cell r="D504" t="str">
            <v>GG - Council Discretionary Fund</v>
          </cell>
          <cell r="E504" t="str">
            <v>2022</v>
          </cell>
          <cell r="F504">
            <v>975.96</v>
          </cell>
          <cell r="G504">
            <v>975.96</v>
          </cell>
          <cell r="H504">
            <v>6732.33</v>
          </cell>
          <cell r="I504">
            <v>44926</v>
          </cell>
          <cell r="J504">
            <v>3227.27</v>
          </cell>
          <cell r="K504">
            <v>6961.57</v>
          </cell>
        </row>
        <row r="505">
          <cell r="B505" t="str">
            <v>510-210-170</v>
          </cell>
          <cell r="C505" t="str">
            <v>Expenditure</v>
          </cell>
          <cell r="D505" t="str">
            <v>GG - Admin. - Training</v>
          </cell>
          <cell r="E505" t="str">
            <v>2022</v>
          </cell>
          <cell r="F505">
            <v>2271.41</v>
          </cell>
          <cell r="G505">
            <v>2271.41</v>
          </cell>
          <cell r="H505">
            <v>5334.58</v>
          </cell>
          <cell r="I505">
            <v>44926</v>
          </cell>
          <cell r="J505">
            <v>2717.37</v>
          </cell>
          <cell r="K505">
            <v>4289.7700000000004</v>
          </cell>
        </row>
        <row r="506">
          <cell r="B506" t="str">
            <v>510-210-175</v>
          </cell>
          <cell r="C506" t="str">
            <v>Expenditure</v>
          </cell>
          <cell r="D506" t="str">
            <v>GG - Travel &amp; Related Expenses</v>
          </cell>
          <cell r="E506" t="str">
            <v>2022</v>
          </cell>
          <cell r="F506">
            <v>193</v>
          </cell>
          <cell r="G506">
            <v>193</v>
          </cell>
          <cell r="H506">
            <v>435.38</v>
          </cell>
          <cell r="I506">
            <v>44926</v>
          </cell>
          <cell r="J506">
            <v>135</v>
          </cell>
          <cell r="K506">
            <v>455.6</v>
          </cell>
        </row>
        <row r="507">
          <cell r="B507" t="str">
            <v>510-220-100</v>
          </cell>
          <cell r="C507" t="str">
            <v>Expenditure</v>
          </cell>
          <cell r="D507" t="str">
            <v>GG - Cont. - Office Caretaking</v>
          </cell>
          <cell r="E507" t="str">
            <v>2022</v>
          </cell>
          <cell r="F507">
            <v>3143.19</v>
          </cell>
          <cell r="G507">
            <v>3143.19</v>
          </cell>
          <cell r="H507">
            <v>4638.3900000000003</v>
          </cell>
          <cell r="I507">
            <v>44926</v>
          </cell>
          <cell r="J507">
            <v>4200</v>
          </cell>
          <cell r="K507">
            <v>4200</v>
          </cell>
        </row>
        <row r="508">
          <cell r="B508" t="str">
            <v>510-230-100</v>
          </cell>
          <cell r="C508" t="str">
            <v>Expenditure</v>
          </cell>
          <cell r="D508" t="str">
            <v>GG - Cont. - Insurance - General &amp; Bond</v>
          </cell>
          <cell r="E508" t="str">
            <v>2022</v>
          </cell>
          <cell r="F508">
            <v>12115.34</v>
          </cell>
          <cell r="G508">
            <v>12115.34</v>
          </cell>
          <cell r="H508">
            <v>11034.15</v>
          </cell>
          <cell r="I508">
            <v>44926</v>
          </cell>
          <cell r="J508">
            <v>6943.24</v>
          </cell>
          <cell r="K508">
            <v>8094.69</v>
          </cell>
        </row>
        <row r="509">
          <cell r="B509" t="str">
            <v>510-240-100</v>
          </cell>
          <cell r="C509" t="str">
            <v>Expenditure</v>
          </cell>
          <cell r="D509" t="str">
            <v>GG - Cont. - Memberships &amp; Subscriptions</v>
          </cell>
          <cell r="E509" t="str">
            <v>2022</v>
          </cell>
          <cell r="F509">
            <v>28930.560000000001</v>
          </cell>
          <cell r="G509">
            <v>28930.560000000001</v>
          </cell>
          <cell r="H509">
            <v>32551.360000000001</v>
          </cell>
          <cell r="I509">
            <v>44926</v>
          </cell>
          <cell r="J509">
            <v>12909.38</v>
          </cell>
          <cell r="K509">
            <v>14294.42</v>
          </cell>
        </row>
        <row r="510">
          <cell r="B510" t="str">
            <v>510-260-100</v>
          </cell>
          <cell r="C510" t="str">
            <v>Expenditure</v>
          </cell>
          <cell r="D510" t="str">
            <v>GG - Cont. - Tax Enforcement/Collection</v>
          </cell>
          <cell r="E510" t="str">
            <v>2022</v>
          </cell>
          <cell r="F510">
            <v>0</v>
          </cell>
          <cell r="G510">
            <v>0</v>
          </cell>
          <cell r="H510">
            <v>0</v>
          </cell>
          <cell r="I510">
            <v>44926</v>
          </cell>
          <cell r="J510">
            <v>0</v>
          </cell>
          <cell r="K510">
            <v>0</v>
          </cell>
        </row>
        <row r="511">
          <cell r="B511" t="str">
            <v>510-260-150</v>
          </cell>
          <cell r="C511" t="str">
            <v>Expenditure</v>
          </cell>
          <cell r="D511" t="str">
            <v>GG - Cont. - Elections</v>
          </cell>
          <cell r="E511" t="str">
            <v>2022</v>
          </cell>
          <cell r="F511">
            <v>0</v>
          </cell>
          <cell r="G511">
            <v>0</v>
          </cell>
          <cell r="H511">
            <v>2982</v>
          </cell>
          <cell r="I511">
            <v>44926</v>
          </cell>
          <cell r="J511">
            <v>3054.85</v>
          </cell>
          <cell r="K511">
            <v>0</v>
          </cell>
        </row>
        <row r="512">
          <cell r="B512" t="str">
            <v>510-270-100</v>
          </cell>
          <cell r="C512" t="str">
            <v>Expenditure</v>
          </cell>
          <cell r="D512" t="str">
            <v>GG - Cont. - Maintenance - Building</v>
          </cell>
          <cell r="E512" t="str">
            <v>2022</v>
          </cell>
          <cell r="F512">
            <v>1747.79</v>
          </cell>
          <cell r="G512">
            <v>1747.79</v>
          </cell>
          <cell r="H512">
            <v>1529.25</v>
          </cell>
          <cell r="I512">
            <v>44926</v>
          </cell>
          <cell r="J512">
            <v>6895.15</v>
          </cell>
          <cell r="K512">
            <v>6672.08</v>
          </cell>
        </row>
        <row r="513">
          <cell r="B513" t="str">
            <v>510-270-150</v>
          </cell>
          <cell r="C513" t="str">
            <v>Expenditure</v>
          </cell>
          <cell r="D513" t="str">
            <v>GG - Cont. - Contracted Maint - PO</v>
          </cell>
          <cell r="E513" t="str">
            <v>2022</v>
          </cell>
          <cell r="F513">
            <v>182.77</v>
          </cell>
          <cell r="G513">
            <v>182.77</v>
          </cell>
          <cell r="H513">
            <v>0</v>
          </cell>
          <cell r="I513">
            <v>44926</v>
          </cell>
          <cell r="J513">
            <v>0</v>
          </cell>
          <cell r="K513">
            <v>3807.41</v>
          </cell>
        </row>
        <row r="514">
          <cell r="B514" t="str">
            <v>510-280-100</v>
          </cell>
          <cell r="C514" t="str">
            <v>Expenditure</v>
          </cell>
          <cell r="D514" t="str">
            <v>GG - Cont. - Office Equipment</v>
          </cell>
          <cell r="E514" t="str">
            <v>2022</v>
          </cell>
          <cell r="F514">
            <v>0</v>
          </cell>
          <cell r="G514">
            <v>0</v>
          </cell>
          <cell r="H514">
            <v>0</v>
          </cell>
          <cell r="I514">
            <v>44926</v>
          </cell>
          <cell r="J514">
            <v>0</v>
          </cell>
          <cell r="K514">
            <v>0</v>
          </cell>
        </row>
        <row r="515">
          <cell r="B515" t="str">
            <v>510-290-100</v>
          </cell>
          <cell r="C515" t="str">
            <v>Expenditure</v>
          </cell>
          <cell r="D515" t="str">
            <v>GG - Cont. - Bank Charges &amp; Interest</v>
          </cell>
          <cell r="E515" t="str">
            <v>2022</v>
          </cell>
          <cell r="F515">
            <v>417.92</v>
          </cell>
          <cell r="G515">
            <v>417.92</v>
          </cell>
          <cell r="H515">
            <v>2351.77</v>
          </cell>
          <cell r="I515">
            <v>44926</v>
          </cell>
          <cell r="J515">
            <v>2974.81</v>
          </cell>
          <cell r="K515">
            <v>3271.23</v>
          </cell>
        </row>
        <row r="516">
          <cell r="B516" t="str">
            <v>510-300-100</v>
          </cell>
          <cell r="C516" t="str">
            <v>Expenditure</v>
          </cell>
          <cell r="D516" t="str">
            <v>GG - UTILITIES</v>
          </cell>
          <cell r="E516" t="str">
            <v>2022</v>
          </cell>
          <cell r="F516">
            <v>0</v>
          </cell>
          <cell r="G516">
            <v>0</v>
          </cell>
          <cell r="H516">
            <v>0</v>
          </cell>
          <cell r="I516">
            <v>44926</v>
          </cell>
          <cell r="J516">
            <v>0</v>
          </cell>
          <cell r="K516">
            <v>0</v>
          </cell>
        </row>
        <row r="517">
          <cell r="B517" t="str">
            <v>510-300-110</v>
          </cell>
          <cell r="C517" t="str">
            <v>Expenditure</v>
          </cell>
          <cell r="D517" t="str">
            <v>GG - Utility - Heat - Office</v>
          </cell>
          <cell r="E517" t="str">
            <v>2022</v>
          </cell>
          <cell r="F517">
            <v>3378.33</v>
          </cell>
          <cell r="G517">
            <v>3378.33</v>
          </cell>
          <cell r="H517">
            <v>2322.41</v>
          </cell>
          <cell r="I517">
            <v>44926</v>
          </cell>
          <cell r="J517">
            <v>1483.37</v>
          </cell>
          <cell r="K517">
            <v>1970.99</v>
          </cell>
        </row>
        <row r="518">
          <cell r="B518" t="str">
            <v>510-300-120</v>
          </cell>
          <cell r="C518" t="str">
            <v>Expenditure</v>
          </cell>
          <cell r="D518" t="str">
            <v>GG - Utility - Power - Office</v>
          </cell>
          <cell r="E518" t="str">
            <v>2022</v>
          </cell>
          <cell r="F518">
            <v>1786.96</v>
          </cell>
          <cell r="G518">
            <v>1786.96</v>
          </cell>
          <cell r="H518">
            <v>2537</v>
          </cell>
          <cell r="I518">
            <v>44926</v>
          </cell>
          <cell r="J518">
            <v>2348.3200000000002</v>
          </cell>
          <cell r="K518">
            <v>2166.92</v>
          </cell>
        </row>
        <row r="519">
          <cell r="B519" t="str">
            <v>510-300-130</v>
          </cell>
          <cell r="C519" t="str">
            <v>Expenditure</v>
          </cell>
          <cell r="D519" t="str">
            <v>GG - Utility - Water - Office</v>
          </cell>
          <cell r="E519" t="str">
            <v>2022</v>
          </cell>
          <cell r="F519">
            <v>804.28</v>
          </cell>
          <cell r="G519">
            <v>804.28</v>
          </cell>
          <cell r="H519">
            <v>1198.94</v>
          </cell>
          <cell r="I519">
            <v>44926</v>
          </cell>
          <cell r="J519">
            <v>849.08</v>
          </cell>
          <cell r="K519">
            <v>754.56</v>
          </cell>
        </row>
        <row r="520">
          <cell r="B520" t="str">
            <v>510-300-140</v>
          </cell>
          <cell r="C520" t="str">
            <v>Expenditure</v>
          </cell>
          <cell r="D520" t="str">
            <v>GG - Utility - Telephone - Office</v>
          </cell>
          <cell r="E520" t="str">
            <v>2022</v>
          </cell>
          <cell r="F520">
            <v>4444.62</v>
          </cell>
          <cell r="G520">
            <v>4444.62</v>
          </cell>
          <cell r="H520">
            <v>7260.12</v>
          </cell>
          <cell r="I520">
            <v>44926</v>
          </cell>
          <cell r="J520">
            <v>6753.94</v>
          </cell>
          <cell r="K520">
            <v>6031.6</v>
          </cell>
        </row>
        <row r="521">
          <cell r="B521" t="str">
            <v>510-400-100</v>
          </cell>
          <cell r="C521" t="str">
            <v>Expenditure</v>
          </cell>
          <cell r="D521" t="str">
            <v>GG - MAINTENANCE MATERIALS AND SUPPLIES</v>
          </cell>
          <cell r="E521" t="str">
            <v>2022</v>
          </cell>
          <cell r="F521">
            <v>0</v>
          </cell>
          <cell r="G521">
            <v>0</v>
          </cell>
          <cell r="H521">
            <v>0</v>
          </cell>
          <cell r="I521">
            <v>44926</v>
          </cell>
          <cell r="J521">
            <v>0</v>
          </cell>
          <cell r="K521">
            <v>0</v>
          </cell>
        </row>
        <row r="522">
          <cell r="B522" t="str">
            <v>510-400-110</v>
          </cell>
          <cell r="C522" t="str">
            <v>Expenditure</v>
          </cell>
          <cell r="D522" t="str">
            <v>GG - Maint. - Postage</v>
          </cell>
          <cell r="E522" t="str">
            <v>2022</v>
          </cell>
          <cell r="F522">
            <v>-260.97000000000003</v>
          </cell>
          <cell r="G522">
            <v>-260.97000000000003</v>
          </cell>
          <cell r="H522">
            <v>9129.7199999999993</v>
          </cell>
          <cell r="I522">
            <v>44926</v>
          </cell>
          <cell r="J522">
            <v>4991.51</v>
          </cell>
          <cell r="K522">
            <v>9449.2800000000007</v>
          </cell>
        </row>
        <row r="523">
          <cell r="B523" t="str">
            <v>510-410-140</v>
          </cell>
          <cell r="C523" t="str">
            <v>Expenditure</v>
          </cell>
          <cell r="D523" t="str">
            <v>GG - Maint. - Office Supplies</v>
          </cell>
          <cell r="E523" t="str">
            <v>2022</v>
          </cell>
          <cell r="F523">
            <v>891.17</v>
          </cell>
          <cell r="G523">
            <v>891.17</v>
          </cell>
          <cell r="H523">
            <v>4126.03</v>
          </cell>
          <cell r="I523">
            <v>44926</v>
          </cell>
          <cell r="J523">
            <v>5709.29</v>
          </cell>
          <cell r="K523">
            <v>4154.3599999999997</v>
          </cell>
        </row>
        <row r="524">
          <cell r="B524" t="str">
            <v>510-410-160</v>
          </cell>
          <cell r="C524" t="str">
            <v>Expenditure</v>
          </cell>
          <cell r="D524" t="str">
            <v>GG - Maint. - Discretionary Fund</v>
          </cell>
          <cell r="E524" t="str">
            <v>2022</v>
          </cell>
          <cell r="F524">
            <v>334.76</v>
          </cell>
          <cell r="G524">
            <v>334.76</v>
          </cell>
          <cell r="H524">
            <v>847.68</v>
          </cell>
          <cell r="I524">
            <v>44926</v>
          </cell>
          <cell r="J524">
            <v>1792.56</v>
          </cell>
          <cell r="K524">
            <v>1541.2</v>
          </cell>
        </row>
        <row r="525">
          <cell r="B525" t="str">
            <v>510-420-100</v>
          </cell>
          <cell r="C525" t="str">
            <v>Expenditure</v>
          </cell>
          <cell r="D525" t="str">
            <v>GG - Maint. - Janitor Supplies</v>
          </cell>
          <cell r="E525" t="str">
            <v>2022</v>
          </cell>
          <cell r="F525">
            <v>134.94999999999999</v>
          </cell>
          <cell r="G525">
            <v>134.94999999999999</v>
          </cell>
          <cell r="H525">
            <v>184.9</v>
          </cell>
          <cell r="I525">
            <v>44926</v>
          </cell>
          <cell r="J525">
            <v>702.89</v>
          </cell>
          <cell r="K525">
            <v>494.06</v>
          </cell>
        </row>
        <row r="526">
          <cell r="B526" t="str">
            <v>510-490-100</v>
          </cell>
          <cell r="C526" t="str">
            <v>Expenditure</v>
          </cell>
          <cell r="D526" t="str">
            <v>GG - Maint. - Office Equip R&amp;M</v>
          </cell>
          <cell r="E526" t="str">
            <v>2022</v>
          </cell>
          <cell r="F526">
            <v>12936.98</v>
          </cell>
          <cell r="G526">
            <v>12936.98</v>
          </cell>
          <cell r="H526">
            <v>23814.67</v>
          </cell>
          <cell r="I526">
            <v>44926</v>
          </cell>
          <cell r="J526">
            <v>25164.2</v>
          </cell>
          <cell r="K526">
            <v>25220.66</v>
          </cell>
        </row>
        <row r="527">
          <cell r="B527" t="str">
            <v>510-500-100</v>
          </cell>
          <cell r="C527" t="str">
            <v>Expenditure</v>
          </cell>
          <cell r="D527" t="str">
            <v>GG - GRANTS AND CONTRIBUTIONS</v>
          </cell>
          <cell r="E527" t="str">
            <v>2022</v>
          </cell>
          <cell r="F527">
            <v>0</v>
          </cell>
          <cell r="G527">
            <v>0</v>
          </cell>
          <cell r="H527">
            <v>0</v>
          </cell>
          <cell r="I527">
            <v>44926</v>
          </cell>
          <cell r="J527">
            <v>0</v>
          </cell>
          <cell r="K527">
            <v>0</v>
          </cell>
        </row>
        <row r="528">
          <cell r="B528" t="str">
            <v>510-500-110</v>
          </cell>
          <cell r="C528" t="str">
            <v>Expenditure</v>
          </cell>
          <cell r="D528" t="str">
            <v>GG - Grants - Prov - Transit Disabled</v>
          </cell>
          <cell r="E528" t="str">
            <v>2022</v>
          </cell>
          <cell r="F528">
            <v>2636</v>
          </cell>
          <cell r="G528">
            <v>2636</v>
          </cell>
          <cell r="H528">
            <v>1759</v>
          </cell>
          <cell r="I528">
            <v>44926</v>
          </cell>
          <cell r="J528">
            <v>1925</v>
          </cell>
          <cell r="K528">
            <v>1522</v>
          </cell>
        </row>
        <row r="529">
          <cell r="B529" t="str">
            <v>510-500-120</v>
          </cell>
          <cell r="C529" t="str">
            <v>Expenditure</v>
          </cell>
          <cell r="D529" t="str">
            <v>GG - Doctor Recruitment Fund</v>
          </cell>
          <cell r="E529" t="str">
            <v>2022</v>
          </cell>
          <cell r="F529">
            <v>10570</v>
          </cell>
          <cell r="G529">
            <v>10570</v>
          </cell>
          <cell r="H529">
            <v>7220</v>
          </cell>
          <cell r="I529">
            <v>44926</v>
          </cell>
          <cell r="J529">
            <v>7220</v>
          </cell>
          <cell r="K529">
            <v>7220</v>
          </cell>
        </row>
        <row r="530">
          <cell r="B530" t="str">
            <v>510-600-100</v>
          </cell>
          <cell r="C530" t="str">
            <v>Expenditure</v>
          </cell>
          <cell r="D530" t="str">
            <v>GG - CAPITAL EXPENDITURES</v>
          </cell>
          <cell r="E530" t="str">
            <v>2022</v>
          </cell>
          <cell r="F530">
            <v>0</v>
          </cell>
          <cell r="G530">
            <v>0</v>
          </cell>
          <cell r="H530">
            <v>0</v>
          </cell>
          <cell r="I530">
            <v>44926</v>
          </cell>
          <cell r="J530">
            <v>0</v>
          </cell>
          <cell r="K530">
            <v>0</v>
          </cell>
        </row>
        <row r="531">
          <cell r="B531" t="str">
            <v>510-600-110</v>
          </cell>
          <cell r="C531" t="str">
            <v>Expenditure</v>
          </cell>
          <cell r="D531" t="str">
            <v>GG - Purchase of Cap Assets - Land</v>
          </cell>
          <cell r="E531" t="str">
            <v>2022</v>
          </cell>
          <cell r="F531">
            <v>0</v>
          </cell>
          <cell r="G531">
            <v>0</v>
          </cell>
          <cell r="H531">
            <v>0</v>
          </cell>
          <cell r="I531">
            <v>44926</v>
          </cell>
          <cell r="J531">
            <v>0</v>
          </cell>
          <cell r="K531">
            <v>0</v>
          </cell>
        </row>
        <row r="532">
          <cell r="B532" t="str">
            <v>510-600-120</v>
          </cell>
          <cell r="C532" t="str">
            <v>Expenditure</v>
          </cell>
          <cell r="D532" t="str">
            <v>GG - Purchase of Cap Assets - Building</v>
          </cell>
          <cell r="E532" t="str">
            <v>2022</v>
          </cell>
          <cell r="F532">
            <v>0</v>
          </cell>
          <cell r="G532">
            <v>0</v>
          </cell>
          <cell r="H532">
            <v>0</v>
          </cell>
          <cell r="I532">
            <v>44926</v>
          </cell>
          <cell r="J532">
            <v>0</v>
          </cell>
          <cell r="K532">
            <v>0</v>
          </cell>
        </row>
        <row r="533">
          <cell r="B533" t="str">
            <v>510-600-140</v>
          </cell>
          <cell r="C533" t="str">
            <v>Expenditure</v>
          </cell>
          <cell r="D533" t="str">
            <v>GG - Purchase of Cap Assets - Equipment</v>
          </cell>
          <cell r="E533" t="str">
            <v>2022</v>
          </cell>
          <cell r="F533">
            <v>0</v>
          </cell>
          <cell r="G533">
            <v>0</v>
          </cell>
          <cell r="H533">
            <v>0</v>
          </cell>
          <cell r="I533">
            <v>44926</v>
          </cell>
          <cell r="J533">
            <v>0</v>
          </cell>
          <cell r="K533">
            <v>0</v>
          </cell>
        </row>
        <row r="534">
          <cell r="B534" t="str">
            <v>510-700-100</v>
          </cell>
          <cell r="C534" t="str">
            <v>Expenditure</v>
          </cell>
          <cell r="D534" t="str">
            <v>GG - INTEREST</v>
          </cell>
          <cell r="E534" t="str">
            <v>2022</v>
          </cell>
          <cell r="F534">
            <v>0</v>
          </cell>
          <cell r="G534">
            <v>0</v>
          </cell>
          <cell r="H534">
            <v>0</v>
          </cell>
          <cell r="I534">
            <v>44926</v>
          </cell>
          <cell r="J534">
            <v>0</v>
          </cell>
          <cell r="K534">
            <v>0</v>
          </cell>
        </row>
        <row r="535">
          <cell r="B535" t="str">
            <v>510-700-110</v>
          </cell>
          <cell r="C535" t="str">
            <v>Expenditure</v>
          </cell>
          <cell r="D535" t="str">
            <v>GG - Bank Interest</v>
          </cell>
          <cell r="E535" t="str">
            <v>2022</v>
          </cell>
          <cell r="F535">
            <v>644.26</v>
          </cell>
          <cell r="G535">
            <v>644.26</v>
          </cell>
          <cell r="H535">
            <v>0</v>
          </cell>
          <cell r="I535">
            <v>44926</v>
          </cell>
          <cell r="J535">
            <v>-146.12</v>
          </cell>
          <cell r="K535">
            <v>0</v>
          </cell>
        </row>
        <row r="536">
          <cell r="B536" t="str">
            <v>510-700-590</v>
          </cell>
          <cell r="C536" t="str">
            <v>Expenditure</v>
          </cell>
          <cell r="D536" t="str">
            <v>GG -  Amortization Expense</v>
          </cell>
          <cell r="E536" t="str">
            <v>2022</v>
          </cell>
          <cell r="F536">
            <v>0</v>
          </cell>
          <cell r="G536">
            <v>0</v>
          </cell>
          <cell r="H536">
            <v>23892.9</v>
          </cell>
          <cell r="I536">
            <v>44926</v>
          </cell>
          <cell r="J536">
            <v>22039.57</v>
          </cell>
          <cell r="K536">
            <v>3637</v>
          </cell>
        </row>
        <row r="537">
          <cell r="B537" t="str">
            <v>510-800-100</v>
          </cell>
          <cell r="C537" t="str">
            <v>Expenditure</v>
          </cell>
          <cell r="D537" t="str">
            <v>GG - ALLOWANCE FOR UNCOLLECTIBLES</v>
          </cell>
          <cell r="E537" t="str">
            <v>2022</v>
          </cell>
          <cell r="F537">
            <v>0</v>
          </cell>
          <cell r="G537">
            <v>0</v>
          </cell>
          <cell r="H537">
            <v>0</v>
          </cell>
          <cell r="I537">
            <v>44926</v>
          </cell>
          <cell r="J537">
            <v>0</v>
          </cell>
          <cell r="K537">
            <v>0</v>
          </cell>
        </row>
        <row r="538">
          <cell r="B538" t="str">
            <v>510-800-105</v>
          </cell>
          <cell r="C538" t="str">
            <v>Expenditure</v>
          </cell>
          <cell r="D538" t="str">
            <v>GG - Bad Debt Expense</v>
          </cell>
          <cell r="E538" t="str">
            <v>2022</v>
          </cell>
          <cell r="F538">
            <v>0</v>
          </cell>
          <cell r="G538">
            <v>0</v>
          </cell>
          <cell r="H538">
            <v>0</v>
          </cell>
          <cell r="I538">
            <v>44926</v>
          </cell>
          <cell r="J538">
            <v>0</v>
          </cell>
          <cell r="K538">
            <v>-3277.4</v>
          </cell>
        </row>
        <row r="539">
          <cell r="B539" t="str">
            <v>510-800-110</v>
          </cell>
          <cell r="C539" t="str">
            <v>Expenditure</v>
          </cell>
          <cell r="D539" t="str">
            <v>GG - Allowance for Uncollectibles</v>
          </cell>
          <cell r="E539" t="str">
            <v>2022</v>
          </cell>
          <cell r="F539">
            <v>0</v>
          </cell>
          <cell r="G539">
            <v>0</v>
          </cell>
          <cell r="H539">
            <v>0</v>
          </cell>
          <cell r="I539">
            <v>44926</v>
          </cell>
          <cell r="J539">
            <v>0</v>
          </cell>
          <cell r="K539">
            <v>0</v>
          </cell>
        </row>
        <row r="540">
          <cell r="B540" t="str">
            <v>510-900-100</v>
          </cell>
          <cell r="C540" t="str">
            <v>Expenditure</v>
          </cell>
          <cell r="D540" t="str">
            <v>GG - OTHER</v>
          </cell>
          <cell r="E540" t="str">
            <v>2022</v>
          </cell>
          <cell r="F540">
            <v>0</v>
          </cell>
          <cell r="G540">
            <v>0</v>
          </cell>
          <cell r="H540">
            <v>0</v>
          </cell>
          <cell r="I540">
            <v>44926</v>
          </cell>
          <cell r="J540">
            <v>0</v>
          </cell>
          <cell r="K540">
            <v>0</v>
          </cell>
        </row>
        <row r="541">
          <cell r="B541" t="str">
            <v>510-900-110</v>
          </cell>
          <cell r="C541" t="str">
            <v>Expenditure</v>
          </cell>
          <cell r="D541" t="str">
            <v>GG - Other - Special Events - Council</v>
          </cell>
          <cell r="E541" t="str">
            <v>2022</v>
          </cell>
          <cell r="F541">
            <v>0</v>
          </cell>
          <cell r="G541">
            <v>0</v>
          </cell>
          <cell r="H541">
            <v>0</v>
          </cell>
          <cell r="I541">
            <v>44926</v>
          </cell>
          <cell r="J541">
            <v>0</v>
          </cell>
          <cell r="K541">
            <v>0</v>
          </cell>
        </row>
        <row r="542">
          <cell r="B542" t="str">
            <v>520-100-050</v>
          </cell>
          <cell r="C542" t="str">
            <v>Expenditure</v>
          </cell>
          <cell r="D542" t="str">
            <v>PROTECTIVE SERVICES</v>
          </cell>
          <cell r="E542" t="str">
            <v>2022</v>
          </cell>
          <cell r="F542">
            <v>0</v>
          </cell>
          <cell r="G542">
            <v>0</v>
          </cell>
          <cell r="H542">
            <v>0</v>
          </cell>
          <cell r="I542">
            <v>44926</v>
          </cell>
          <cell r="J542">
            <v>0</v>
          </cell>
          <cell r="K542">
            <v>0</v>
          </cell>
        </row>
        <row r="543">
          <cell r="B543" t="str">
            <v>520-110-050</v>
          </cell>
          <cell r="C543" t="str">
            <v>Expenditure</v>
          </cell>
          <cell r="D543" t="str">
            <v>POLICE PROTECTION</v>
          </cell>
          <cell r="E543" t="str">
            <v>2022</v>
          </cell>
          <cell r="F543">
            <v>0</v>
          </cell>
          <cell r="G543">
            <v>0</v>
          </cell>
          <cell r="H543">
            <v>0</v>
          </cell>
          <cell r="I543">
            <v>44926</v>
          </cell>
          <cell r="J543">
            <v>0</v>
          </cell>
          <cell r="K543">
            <v>0</v>
          </cell>
        </row>
        <row r="544">
          <cell r="B544" t="str">
            <v>520-110-100</v>
          </cell>
          <cell r="C544" t="str">
            <v>Expenditure</v>
          </cell>
          <cell r="D544" t="str">
            <v>PS - POLICE - WAGES AND BENEFITS</v>
          </cell>
          <cell r="E544" t="str">
            <v>2022</v>
          </cell>
          <cell r="F544">
            <v>0</v>
          </cell>
          <cell r="G544">
            <v>0</v>
          </cell>
          <cell r="H544">
            <v>0</v>
          </cell>
          <cell r="I544">
            <v>44926</v>
          </cell>
          <cell r="J544">
            <v>0</v>
          </cell>
          <cell r="K544">
            <v>0</v>
          </cell>
        </row>
        <row r="545">
          <cell r="B545" t="str">
            <v>520-110-110</v>
          </cell>
          <cell r="C545" t="str">
            <v>Expenditure</v>
          </cell>
          <cell r="D545" t="str">
            <v>PS - Bylaw Enforcement - Salaries</v>
          </cell>
          <cell r="E545" t="str">
            <v>2022</v>
          </cell>
          <cell r="F545">
            <v>0</v>
          </cell>
          <cell r="G545">
            <v>0</v>
          </cell>
          <cell r="H545">
            <v>4350</v>
          </cell>
          <cell r="I545">
            <v>44926</v>
          </cell>
          <cell r="J545">
            <v>23.16</v>
          </cell>
          <cell r="K545">
            <v>0</v>
          </cell>
        </row>
        <row r="546">
          <cell r="B546" t="str">
            <v>520-110-115</v>
          </cell>
          <cell r="C546" t="str">
            <v>Expenditure</v>
          </cell>
          <cell r="D546" t="str">
            <v>PS - CSO - Salaries</v>
          </cell>
          <cell r="E546" t="str">
            <v>2022</v>
          </cell>
          <cell r="F546">
            <v>0</v>
          </cell>
          <cell r="G546">
            <v>0</v>
          </cell>
          <cell r="H546">
            <v>0</v>
          </cell>
          <cell r="I546">
            <v>44926</v>
          </cell>
        </row>
        <row r="547">
          <cell r="B547" t="str">
            <v>520-120-110</v>
          </cell>
          <cell r="C547" t="str">
            <v>Expenditure</v>
          </cell>
          <cell r="D547" t="str">
            <v>PS - Bylaw Enforcement - Benefits</v>
          </cell>
          <cell r="E547" t="str">
            <v>2022</v>
          </cell>
          <cell r="F547">
            <v>0</v>
          </cell>
          <cell r="G547">
            <v>0</v>
          </cell>
          <cell r="H547">
            <v>560</v>
          </cell>
          <cell r="I547">
            <v>44926</v>
          </cell>
          <cell r="J547">
            <v>5.29</v>
          </cell>
          <cell r="K547">
            <v>0</v>
          </cell>
        </row>
        <row r="548">
          <cell r="B548" t="str">
            <v>520-120-115</v>
          </cell>
          <cell r="C548" t="str">
            <v>Expenditure</v>
          </cell>
          <cell r="D548" t="str">
            <v>PS - CSO - Benefits</v>
          </cell>
          <cell r="E548" t="str">
            <v>2022</v>
          </cell>
          <cell r="F548">
            <v>0</v>
          </cell>
          <cell r="G548">
            <v>0</v>
          </cell>
          <cell r="H548">
            <v>0</v>
          </cell>
          <cell r="I548">
            <v>44926</v>
          </cell>
        </row>
        <row r="549">
          <cell r="B549" t="str">
            <v>520-200-100</v>
          </cell>
          <cell r="C549" t="str">
            <v>Expenditure</v>
          </cell>
          <cell r="D549" t="str">
            <v>PS - POLICE - PROF/CONTRACT SERVICES</v>
          </cell>
          <cell r="E549" t="str">
            <v>2022</v>
          </cell>
          <cell r="F549">
            <v>0</v>
          </cell>
          <cell r="G549">
            <v>0</v>
          </cell>
          <cell r="H549">
            <v>0</v>
          </cell>
          <cell r="I549">
            <v>44926</v>
          </cell>
          <cell r="J549">
            <v>0</v>
          </cell>
          <cell r="K549">
            <v>0</v>
          </cell>
        </row>
        <row r="550">
          <cell r="B550" t="str">
            <v>520-210-110</v>
          </cell>
          <cell r="C550" t="str">
            <v>Expenditure</v>
          </cell>
          <cell r="D550" t="str">
            <v>PS - Building Inspections</v>
          </cell>
          <cell r="E550" t="str">
            <v>2022</v>
          </cell>
          <cell r="F550">
            <v>19698.330000000002</v>
          </cell>
          <cell r="G550">
            <v>19698.330000000002</v>
          </cell>
          <cell r="H550">
            <v>12326.4</v>
          </cell>
          <cell r="I550">
            <v>44926</v>
          </cell>
          <cell r="J550">
            <v>6632.14</v>
          </cell>
          <cell r="K550">
            <v>4177.25</v>
          </cell>
        </row>
        <row r="551">
          <cell r="B551" t="str">
            <v>520-210-120</v>
          </cell>
          <cell r="C551" t="str">
            <v>Expenditure</v>
          </cell>
          <cell r="D551" t="str">
            <v>PS - Bylaw Contracted Services</v>
          </cell>
          <cell r="E551" t="str">
            <v>2022</v>
          </cell>
          <cell r="F551">
            <v>641</v>
          </cell>
          <cell r="G551">
            <v>641</v>
          </cell>
          <cell r="H551">
            <v>7050</v>
          </cell>
          <cell r="I551">
            <v>44926</v>
          </cell>
          <cell r="J551">
            <v>20700</v>
          </cell>
          <cell r="K551">
            <v>10400</v>
          </cell>
        </row>
        <row r="552">
          <cell r="B552" t="str">
            <v>520-210-125</v>
          </cell>
          <cell r="C552" t="str">
            <v>Expenditure</v>
          </cell>
          <cell r="D552" t="str">
            <v>PS - Bylaw Enforcement - Other</v>
          </cell>
          <cell r="E552" t="str">
            <v>2022</v>
          </cell>
          <cell r="F552">
            <v>250.84</v>
          </cell>
          <cell r="G552">
            <v>250.84</v>
          </cell>
          <cell r="H552">
            <v>3538.44</v>
          </cell>
          <cell r="I552">
            <v>44926</v>
          </cell>
          <cell r="J552">
            <v>1894.61</v>
          </cell>
          <cell r="K552">
            <v>1453.55</v>
          </cell>
        </row>
        <row r="553">
          <cell r="B553" t="str">
            <v>520-300-140</v>
          </cell>
          <cell r="C553" t="str">
            <v>Expenditure</v>
          </cell>
          <cell r="D553" t="str">
            <v>PS - Utility - Telephone</v>
          </cell>
          <cell r="E553" t="str">
            <v>2022</v>
          </cell>
          <cell r="F553">
            <v>0</v>
          </cell>
          <cell r="G553">
            <v>0</v>
          </cell>
          <cell r="H553">
            <v>0</v>
          </cell>
          <cell r="I553">
            <v>44926</v>
          </cell>
        </row>
        <row r="554">
          <cell r="B554" t="str">
            <v>520-420-100</v>
          </cell>
          <cell r="C554" t="str">
            <v>Expenditure</v>
          </cell>
          <cell r="D554" t="str">
            <v>PS - Materials &amp; Supplies</v>
          </cell>
          <cell r="E554" t="str">
            <v>2022</v>
          </cell>
          <cell r="F554">
            <v>97.64</v>
          </cell>
          <cell r="G554">
            <v>97.64</v>
          </cell>
          <cell r="H554">
            <v>0</v>
          </cell>
          <cell r="I554">
            <v>44926</v>
          </cell>
          <cell r="J554">
            <v>89.72</v>
          </cell>
          <cell r="K554">
            <v>102.85</v>
          </cell>
        </row>
        <row r="555">
          <cell r="B555" t="str">
            <v>520-420-170</v>
          </cell>
          <cell r="C555" t="str">
            <v>Expenditure</v>
          </cell>
          <cell r="D555" t="str">
            <v>PS - Training</v>
          </cell>
          <cell r="E555" t="str">
            <v>2022</v>
          </cell>
          <cell r="F555">
            <v>0</v>
          </cell>
          <cell r="G555">
            <v>0</v>
          </cell>
          <cell r="H555">
            <v>0</v>
          </cell>
          <cell r="I555">
            <v>44926</v>
          </cell>
        </row>
        <row r="556">
          <cell r="B556" t="str">
            <v>520-450-100</v>
          </cell>
          <cell r="C556" t="str">
            <v>Expenditure</v>
          </cell>
          <cell r="D556" t="str">
            <v>PS - Police - Other</v>
          </cell>
          <cell r="E556" t="str">
            <v>2022</v>
          </cell>
          <cell r="F556">
            <v>129794.6</v>
          </cell>
          <cell r="G556">
            <v>129794.6</v>
          </cell>
          <cell r="H556">
            <v>115445.33</v>
          </cell>
          <cell r="I556">
            <v>44926</v>
          </cell>
          <cell r="J556">
            <v>112428.05</v>
          </cell>
          <cell r="K556">
            <v>108520.69</v>
          </cell>
        </row>
        <row r="557">
          <cell r="B557" t="str">
            <v>520-600-120</v>
          </cell>
          <cell r="C557" t="str">
            <v>Expenditure</v>
          </cell>
          <cell r="D557" t="str">
            <v>PS - Purchase of Capital Assets - Equip</v>
          </cell>
          <cell r="E557" t="str">
            <v>2022</v>
          </cell>
          <cell r="F557">
            <v>0</v>
          </cell>
          <cell r="G557">
            <v>0</v>
          </cell>
          <cell r="H557">
            <v>0</v>
          </cell>
          <cell r="I557">
            <v>44926</v>
          </cell>
        </row>
        <row r="558">
          <cell r="B558" t="str">
            <v>520-700-590</v>
          </cell>
          <cell r="C558" t="str">
            <v>Expenditure</v>
          </cell>
          <cell r="D558" t="str">
            <v>PS - Amortization Expense</v>
          </cell>
          <cell r="E558" t="str">
            <v>2022</v>
          </cell>
          <cell r="F558">
            <v>0</v>
          </cell>
          <cell r="G558">
            <v>0</v>
          </cell>
          <cell r="H558">
            <v>0</v>
          </cell>
          <cell r="I558">
            <v>44926</v>
          </cell>
        </row>
        <row r="559">
          <cell r="B559" t="str">
            <v>525-100-050</v>
          </cell>
          <cell r="C559" t="str">
            <v>Expenditure</v>
          </cell>
          <cell r="D559" t="str">
            <v>FIRE PROTECTION</v>
          </cell>
          <cell r="E559" t="str">
            <v>2022</v>
          </cell>
          <cell r="F559">
            <v>0</v>
          </cell>
          <cell r="G559">
            <v>0</v>
          </cell>
          <cell r="H559">
            <v>0</v>
          </cell>
          <cell r="I559">
            <v>44926</v>
          </cell>
          <cell r="J559">
            <v>0</v>
          </cell>
          <cell r="K559">
            <v>0</v>
          </cell>
        </row>
        <row r="560">
          <cell r="B560" t="str">
            <v>525-110-050</v>
          </cell>
          <cell r="C560" t="str">
            <v>Expenditure</v>
          </cell>
          <cell r="D560" t="str">
            <v>PS - FIRE - WAGES AND BENEFITS</v>
          </cell>
          <cell r="E560" t="str">
            <v>2022</v>
          </cell>
          <cell r="F560">
            <v>0</v>
          </cell>
          <cell r="G560">
            <v>0</v>
          </cell>
          <cell r="H560">
            <v>0</v>
          </cell>
          <cell r="I560">
            <v>44926</v>
          </cell>
          <cell r="J560">
            <v>0</v>
          </cell>
          <cell r="K560">
            <v>0</v>
          </cell>
        </row>
        <row r="561">
          <cell r="B561" t="str">
            <v>525-110-100</v>
          </cell>
          <cell r="C561" t="str">
            <v>Expenditure</v>
          </cell>
          <cell r="D561" t="str">
            <v>PS - FIRE - WAGES</v>
          </cell>
          <cell r="E561" t="str">
            <v>2022</v>
          </cell>
          <cell r="F561">
            <v>0</v>
          </cell>
          <cell r="G561">
            <v>0</v>
          </cell>
          <cell r="H561">
            <v>0</v>
          </cell>
          <cell r="I561">
            <v>44926</v>
          </cell>
          <cell r="J561">
            <v>0</v>
          </cell>
          <cell r="K561">
            <v>0</v>
          </cell>
        </row>
        <row r="562">
          <cell r="B562" t="str">
            <v>525-110-120</v>
          </cell>
          <cell r="C562" t="str">
            <v>Expenditure</v>
          </cell>
          <cell r="D562" t="str">
            <v>PS - Fire - Salaries</v>
          </cell>
          <cell r="E562" t="str">
            <v>2022</v>
          </cell>
          <cell r="F562">
            <v>1319.36</v>
          </cell>
          <cell r="G562">
            <v>1319.36</v>
          </cell>
          <cell r="H562">
            <v>10072.08</v>
          </cell>
          <cell r="I562">
            <v>44926</v>
          </cell>
          <cell r="J562">
            <v>9922.5400000000009</v>
          </cell>
          <cell r="K562">
            <v>12479.9</v>
          </cell>
        </row>
        <row r="563">
          <cell r="B563" t="str">
            <v>525-120-100</v>
          </cell>
          <cell r="C563" t="str">
            <v>Expenditure</v>
          </cell>
          <cell r="D563" t="str">
            <v>PS - FIRE - BENEFITS</v>
          </cell>
          <cell r="E563" t="str">
            <v>2022</v>
          </cell>
          <cell r="F563">
            <v>0</v>
          </cell>
          <cell r="G563">
            <v>0</v>
          </cell>
          <cell r="H563">
            <v>0</v>
          </cell>
          <cell r="I563">
            <v>44926</v>
          </cell>
          <cell r="J563">
            <v>0</v>
          </cell>
          <cell r="K563">
            <v>0</v>
          </cell>
        </row>
        <row r="564">
          <cell r="B564" t="str">
            <v>525-120-114</v>
          </cell>
          <cell r="C564" t="str">
            <v>Expenditure</v>
          </cell>
          <cell r="D564" t="str">
            <v>PS - Fire - Benefits - WCB</v>
          </cell>
          <cell r="E564" t="str">
            <v>2022</v>
          </cell>
          <cell r="F564">
            <v>60.39</v>
          </cell>
          <cell r="G564">
            <v>60.39</v>
          </cell>
          <cell r="H564">
            <v>83.72</v>
          </cell>
          <cell r="I564">
            <v>44926</v>
          </cell>
          <cell r="J564">
            <v>49.15</v>
          </cell>
          <cell r="K564">
            <v>42.08</v>
          </cell>
        </row>
        <row r="565">
          <cell r="B565" t="str">
            <v>525-120-115</v>
          </cell>
          <cell r="C565" t="str">
            <v>Expenditure</v>
          </cell>
          <cell r="D565" t="str">
            <v>PS - Fire - Benefits - Group</v>
          </cell>
          <cell r="E565" t="str">
            <v>2022</v>
          </cell>
          <cell r="F565">
            <v>704</v>
          </cell>
          <cell r="G565">
            <v>704</v>
          </cell>
          <cell r="H565">
            <v>673.52</v>
          </cell>
          <cell r="I565">
            <v>44926</v>
          </cell>
          <cell r="J565">
            <v>669.9</v>
          </cell>
          <cell r="K565">
            <v>295.08</v>
          </cell>
        </row>
        <row r="566">
          <cell r="B566" t="str">
            <v>525-200-100</v>
          </cell>
          <cell r="C566" t="str">
            <v>Expenditure</v>
          </cell>
          <cell r="D566" t="str">
            <v>PS - FIRE - PROF/CONTRACT SERVICES</v>
          </cell>
          <cell r="E566" t="str">
            <v>2022</v>
          </cell>
          <cell r="F566">
            <v>0</v>
          </cell>
          <cell r="G566">
            <v>0</v>
          </cell>
          <cell r="H566">
            <v>0</v>
          </cell>
          <cell r="I566">
            <v>44926</v>
          </cell>
          <cell r="J566">
            <v>0</v>
          </cell>
          <cell r="K566">
            <v>0</v>
          </cell>
        </row>
        <row r="567">
          <cell r="B567" t="str">
            <v>525-210-110</v>
          </cell>
          <cell r="C567" t="str">
            <v>Expenditure</v>
          </cell>
          <cell r="D567" t="str">
            <v>PS - Fire - Contracted Services</v>
          </cell>
          <cell r="E567" t="str">
            <v>2022</v>
          </cell>
          <cell r="F567">
            <v>600</v>
          </cell>
          <cell r="G567">
            <v>600</v>
          </cell>
          <cell r="H567">
            <v>1398.08</v>
          </cell>
          <cell r="I567">
            <v>44926</v>
          </cell>
          <cell r="J567">
            <v>1518.75</v>
          </cell>
          <cell r="K567">
            <v>1106.25</v>
          </cell>
        </row>
        <row r="568">
          <cell r="B568" t="str">
            <v>525-210-170</v>
          </cell>
          <cell r="C568" t="str">
            <v>Expenditure</v>
          </cell>
          <cell r="D568" t="str">
            <v>PS - Fire - Training</v>
          </cell>
          <cell r="E568" t="str">
            <v>2022</v>
          </cell>
          <cell r="F568">
            <v>412.5</v>
          </cell>
          <cell r="G568">
            <v>412.5</v>
          </cell>
          <cell r="H568">
            <v>0</v>
          </cell>
          <cell r="I568">
            <v>44926</v>
          </cell>
          <cell r="J568">
            <v>0</v>
          </cell>
          <cell r="K568">
            <v>373.68</v>
          </cell>
        </row>
        <row r="569">
          <cell r="B569" t="str">
            <v>525-220-100</v>
          </cell>
          <cell r="C569" t="str">
            <v>Expenditure</v>
          </cell>
          <cell r="D569" t="str">
            <v>PS - Fire - Travel, Meals &amp; Subsistence</v>
          </cell>
          <cell r="E569" t="str">
            <v>2022</v>
          </cell>
          <cell r="F569">
            <v>0</v>
          </cell>
          <cell r="G569">
            <v>0</v>
          </cell>
          <cell r="H569">
            <v>0</v>
          </cell>
          <cell r="I569">
            <v>44926</v>
          </cell>
          <cell r="J569">
            <v>0</v>
          </cell>
          <cell r="K569">
            <v>0</v>
          </cell>
        </row>
        <row r="570">
          <cell r="B570" t="str">
            <v>525-230-100</v>
          </cell>
          <cell r="C570" t="str">
            <v>Expenditure</v>
          </cell>
          <cell r="D570" t="str">
            <v>PS - Fire - Insurance</v>
          </cell>
          <cell r="E570" t="str">
            <v>2022</v>
          </cell>
          <cell r="F570">
            <v>437.25</v>
          </cell>
          <cell r="G570">
            <v>437.25</v>
          </cell>
          <cell r="H570">
            <v>437.25</v>
          </cell>
          <cell r="I570">
            <v>44926</v>
          </cell>
          <cell r="J570">
            <v>378.95</v>
          </cell>
          <cell r="K570">
            <v>397.01</v>
          </cell>
        </row>
        <row r="571">
          <cell r="B571" t="str">
            <v>525-240-100</v>
          </cell>
          <cell r="C571" t="str">
            <v>Expenditure</v>
          </cell>
          <cell r="D571" t="str">
            <v>PS - Fire - Memberships/Subscriptions</v>
          </cell>
          <cell r="E571" t="str">
            <v>2022</v>
          </cell>
          <cell r="F571">
            <v>2336.35</v>
          </cell>
          <cell r="G571">
            <v>2336.35</v>
          </cell>
          <cell r="H571">
            <v>277.43</v>
          </cell>
          <cell r="I571">
            <v>44926</v>
          </cell>
          <cell r="J571">
            <v>1221.8499999999999</v>
          </cell>
          <cell r="K571">
            <v>1846</v>
          </cell>
        </row>
        <row r="572">
          <cell r="B572" t="str">
            <v>525-250-100</v>
          </cell>
          <cell r="C572" t="str">
            <v>Expenditure</v>
          </cell>
          <cell r="D572" t="str">
            <v>PS - Fire - Contracted Repairs</v>
          </cell>
          <cell r="E572" t="str">
            <v>2022</v>
          </cell>
          <cell r="F572">
            <v>0</v>
          </cell>
          <cell r="G572">
            <v>0</v>
          </cell>
          <cell r="H572">
            <v>0</v>
          </cell>
          <cell r="I572">
            <v>44926</v>
          </cell>
          <cell r="J572">
            <v>0</v>
          </cell>
          <cell r="K572">
            <v>0</v>
          </cell>
        </row>
        <row r="573">
          <cell r="B573" t="str">
            <v>525-300-100</v>
          </cell>
          <cell r="C573" t="str">
            <v>Expenditure</v>
          </cell>
          <cell r="D573" t="str">
            <v>PS - FIRE - UTILITIES</v>
          </cell>
          <cell r="E573" t="str">
            <v>2022</v>
          </cell>
          <cell r="F573">
            <v>0</v>
          </cell>
          <cell r="G573">
            <v>0</v>
          </cell>
          <cell r="H573">
            <v>0</v>
          </cell>
          <cell r="I573">
            <v>44926</v>
          </cell>
          <cell r="J573">
            <v>0</v>
          </cell>
          <cell r="K573">
            <v>0</v>
          </cell>
        </row>
        <row r="574">
          <cell r="B574" t="str">
            <v>525-300-140</v>
          </cell>
          <cell r="C574" t="str">
            <v>Expenditure</v>
          </cell>
          <cell r="D574" t="str">
            <v>PS - Fire - Utility - Telephone</v>
          </cell>
          <cell r="E574" t="str">
            <v>2022</v>
          </cell>
          <cell r="F574">
            <v>1752.36</v>
          </cell>
          <cell r="G574">
            <v>1752.36</v>
          </cell>
          <cell r="H574">
            <v>5234.1400000000003</v>
          </cell>
          <cell r="I574">
            <v>44926</v>
          </cell>
          <cell r="J574">
            <v>4683.79</v>
          </cell>
          <cell r="K574">
            <v>4354.26</v>
          </cell>
        </row>
        <row r="575">
          <cell r="B575" t="str">
            <v>525-400-100</v>
          </cell>
          <cell r="C575" t="str">
            <v>Expenditure</v>
          </cell>
          <cell r="D575" t="str">
            <v>PS - FIRE - MAINT. MAT. AND SUPPLIES</v>
          </cell>
          <cell r="E575" t="str">
            <v>2022</v>
          </cell>
          <cell r="F575">
            <v>0</v>
          </cell>
          <cell r="G575">
            <v>0</v>
          </cell>
          <cell r="H575">
            <v>0</v>
          </cell>
          <cell r="I575">
            <v>44926</v>
          </cell>
          <cell r="J575">
            <v>0</v>
          </cell>
          <cell r="K575">
            <v>0</v>
          </cell>
        </row>
        <row r="576">
          <cell r="B576" t="str">
            <v>525-430-100</v>
          </cell>
          <cell r="C576" t="str">
            <v>Expenditure</v>
          </cell>
          <cell r="D576" t="str">
            <v>PS - Fire Vehi/Equip. Repair/Parts/Tools</v>
          </cell>
          <cell r="E576" t="str">
            <v>2022</v>
          </cell>
          <cell r="F576">
            <v>4101.7700000000004</v>
          </cell>
          <cell r="G576">
            <v>4101.7700000000004</v>
          </cell>
          <cell r="H576">
            <v>963.05</v>
          </cell>
          <cell r="I576">
            <v>44926</v>
          </cell>
          <cell r="J576">
            <v>0</v>
          </cell>
          <cell r="K576">
            <v>189.9</v>
          </cell>
        </row>
        <row r="577">
          <cell r="B577" t="str">
            <v>525-430-110</v>
          </cell>
          <cell r="C577" t="str">
            <v>Expenditure</v>
          </cell>
          <cell r="D577" t="str">
            <v>PS - Fire - Oil &amp; Gas</v>
          </cell>
          <cell r="E577" t="str">
            <v>2022</v>
          </cell>
          <cell r="F577">
            <v>1287.52</v>
          </cell>
          <cell r="G577">
            <v>1287.52</v>
          </cell>
          <cell r="H577">
            <v>2191.04</v>
          </cell>
          <cell r="I577">
            <v>44926</v>
          </cell>
          <cell r="J577">
            <v>1184.97</v>
          </cell>
          <cell r="K577">
            <v>1656.29</v>
          </cell>
        </row>
        <row r="578">
          <cell r="B578" t="str">
            <v>525-440-100</v>
          </cell>
          <cell r="C578" t="str">
            <v>Expenditure</v>
          </cell>
          <cell r="D578" t="str">
            <v>PS - Fire - Small Tools/Equipment</v>
          </cell>
          <cell r="E578" t="str">
            <v>2022</v>
          </cell>
          <cell r="F578">
            <v>1227.72</v>
          </cell>
          <cell r="G578">
            <v>1227.72</v>
          </cell>
          <cell r="H578">
            <v>18525.89</v>
          </cell>
          <cell r="I578">
            <v>44926</v>
          </cell>
          <cell r="J578">
            <v>5032.34</v>
          </cell>
          <cell r="K578">
            <v>35.06</v>
          </cell>
        </row>
        <row r="579">
          <cell r="B579" t="str">
            <v>525-450-100</v>
          </cell>
          <cell r="C579" t="str">
            <v>Expenditure</v>
          </cell>
          <cell r="D579" t="str">
            <v>PS - Fire - Material &amp; Supplies</v>
          </cell>
          <cell r="E579" t="str">
            <v>2022</v>
          </cell>
          <cell r="F579">
            <v>1258.8499999999999</v>
          </cell>
          <cell r="G579">
            <v>1258.8499999999999</v>
          </cell>
          <cell r="H579">
            <v>1006</v>
          </cell>
          <cell r="I579">
            <v>44926</v>
          </cell>
          <cell r="J579">
            <v>5300.03</v>
          </cell>
          <cell r="K579">
            <v>6116.25</v>
          </cell>
        </row>
        <row r="580">
          <cell r="B580" t="str">
            <v>525-450-105</v>
          </cell>
          <cell r="C580" t="str">
            <v>Expenditure</v>
          </cell>
          <cell r="D580" t="str">
            <v>PS - Fire - Bad Debt Expense</v>
          </cell>
          <cell r="E580" t="str">
            <v>2022</v>
          </cell>
          <cell r="F580">
            <v>0</v>
          </cell>
          <cell r="G580">
            <v>0</v>
          </cell>
          <cell r="H580">
            <v>0</v>
          </cell>
          <cell r="I580">
            <v>44926</v>
          </cell>
          <cell r="J580">
            <v>0</v>
          </cell>
          <cell r="K580">
            <v>2681.34</v>
          </cell>
        </row>
        <row r="581">
          <cell r="B581" t="str">
            <v>525-500-100</v>
          </cell>
          <cell r="C581" t="str">
            <v>Expenditure</v>
          </cell>
          <cell r="D581" t="str">
            <v>PS - FIRE - GRANTS AND CONTRIBUTIONS</v>
          </cell>
          <cell r="E581" t="str">
            <v>2022</v>
          </cell>
          <cell r="F581">
            <v>0</v>
          </cell>
          <cell r="G581">
            <v>0</v>
          </cell>
          <cell r="H581">
            <v>0</v>
          </cell>
          <cell r="I581">
            <v>44926</v>
          </cell>
          <cell r="J581">
            <v>0</v>
          </cell>
          <cell r="K581">
            <v>0</v>
          </cell>
        </row>
        <row r="582">
          <cell r="B582" t="str">
            <v>525-520-110</v>
          </cell>
          <cell r="C582" t="str">
            <v>Expenditure</v>
          </cell>
          <cell r="D582" t="str">
            <v>PS - Fire - Grants and Contributions</v>
          </cell>
          <cell r="E582" t="str">
            <v>2022</v>
          </cell>
          <cell r="F582">
            <v>0</v>
          </cell>
          <cell r="G582">
            <v>0</v>
          </cell>
          <cell r="H582">
            <v>0</v>
          </cell>
          <cell r="I582">
            <v>44926</v>
          </cell>
          <cell r="J582">
            <v>0</v>
          </cell>
          <cell r="K582">
            <v>0</v>
          </cell>
        </row>
        <row r="583">
          <cell r="B583" t="str">
            <v>525-600-100</v>
          </cell>
          <cell r="C583" t="str">
            <v>Expenditure</v>
          </cell>
          <cell r="D583" t="str">
            <v>PS - FIRE - CAPITAL EXPENDITURES</v>
          </cell>
          <cell r="E583" t="str">
            <v>2022</v>
          </cell>
          <cell r="F583">
            <v>0</v>
          </cell>
          <cell r="G583">
            <v>0</v>
          </cell>
          <cell r="H583">
            <v>0</v>
          </cell>
          <cell r="I583">
            <v>44926</v>
          </cell>
          <cell r="J583">
            <v>0</v>
          </cell>
          <cell r="K583">
            <v>0</v>
          </cell>
        </row>
        <row r="584">
          <cell r="B584" t="str">
            <v>525-600-110</v>
          </cell>
          <cell r="C584" t="str">
            <v>Expenditure</v>
          </cell>
          <cell r="D584" t="str">
            <v>PS - Fire - Pur of Cap Assets - Land</v>
          </cell>
          <cell r="E584" t="str">
            <v>2022</v>
          </cell>
          <cell r="F584">
            <v>0</v>
          </cell>
          <cell r="G584">
            <v>0</v>
          </cell>
          <cell r="H584">
            <v>0</v>
          </cell>
          <cell r="I584">
            <v>44926</v>
          </cell>
          <cell r="J584">
            <v>0</v>
          </cell>
          <cell r="K584">
            <v>0</v>
          </cell>
        </row>
        <row r="585">
          <cell r="B585" t="str">
            <v>525-600-120</v>
          </cell>
          <cell r="C585" t="str">
            <v>Expenditure</v>
          </cell>
          <cell r="D585" t="str">
            <v>PS - Fire - Pur of Cap Assets - Building</v>
          </cell>
          <cell r="E585" t="str">
            <v>2022</v>
          </cell>
          <cell r="F585">
            <v>0</v>
          </cell>
          <cell r="G585">
            <v>0</v>
          </cell>
          <cell r="H585">
            <v>0</v>
          </cell>
          <cell r="I585">
            <v>44926</v>
          </cell>
          <cell r="J585">
            <v>0</v>
          </cell>
          <cell r="K585">
            <v>0</v>
          </cell>
        </row>
        <row r="586">
          <cell r="B586" t="str">
            <v>525-600-130</v>
          </cell>
          <cell r="C586" t="str">
            <v>Expenditure</v>
          </cell>
          <cell r="D586" t="str">
            <v>PS - Fire - Pur of Cap Assets - Machine</v>
          </cell>
          <cell r="E586" t="str">
            <v>2022</v>
          </cell>
          <cell r="F586">
            <v>0</v>
          </cell>
          <cell r="G586">
            <v>0</v>
          </cell>
          <cell r="H586">
            <v>0</v>
          </cell>
          <cell r="I586">
            <v>44926</v>
          </cell>
          <cell r="J586">
            <v>0</v>
          </cell>
          <cell r="K586">
            <v>0</v>
          </cell>
        </row>
        <row r="587">
          <cell r="B587" t="str">
            <v>525-600-140</v>
          </cell>
          <cell r="C587" t="str">
            <v>Expenditure</v>
          </cell>
          <cell r="D587" t="str">
            <v>PS - Fire - Pur of Cap Assets - Equip</v>
          </cell>
          <cell r="E587" t="str">
            <v>2022</v>
          </cell>
          <cell r="F587">
            <v>1007.62</v>
          </cell>
          <cell r="G587">
            <v>1007.62</v>
          </cell>
          <cell r="H587">
            <v>0</v>
          </cell>
          <cell r="I587">
            <v>44926</v>
          </cell>
          <cell r="J587">
            <v>0</v>
          </cell>
          <cell r="K587">
            <v>0</v>
          </cell>
        </row>
        <row r="588">
          <cell r="B588" t="str">
            <v>525-600-590</v>
          </cell>
          <cell r="C588" t="str">
            <v>Expenditure</v>
          </cell>
          <cell r="D588" t="str">
            <v>PS - Fire - Amortization Expense</v>
          </cell>
          <cell r="E588" t="str">
            <v>2022</v>
          </cell>
          <cell r="F588">
            <v>0</v>
          </cell>
          <cell r="G588">
            <v>0</v>
          </cell>
          <cell r="H588">
            <v>8399.4699999999993</v>
          </cell>
          <cell r="I588">
            <v>44926</v>
          </cell>
          <cell r="J588">
            <v>7671.3</v>
          </cell>
          <cell r="K588">
            <v>5109</v>
          </cell>
        </row>
        <row r="589">
          <cell r="B589" t="str">
            <v>525-800-100</v>
          </cell>
          <cell r="C589" t="str">
            <v>Expenditure</v>
          </cell>
          <cell r="D589" t="str">
            <v>PS - FIRE - ALLOWANCE FOR UNCOLLECTIBLES</v>
          </cell>
          <cell r="E589" t="str">
            <v>2022</v>
          </cell>
          <cell r="F589">
            <v>0</v>
          </cell>
          <cell r="G589">
            <v>0</v>
          </cell>
          <cell r="H589">
            <v>0</v>
          </cell>
          <cell r="I589">
            <v>44926</v>
          </cell>
          <cell r="J589">
            <v>0</v>
          </cell>
          <cell r="K589">
            <v>0</v>
          </cell>
        </row>
        <row r="590">
          <cell r="B590" t="str">
            <v>525-820-110</v>
          </cell>
          <cell r="C590" t="str">
            <v>Expenditure</v>
          </cell>
          <cell r="D590" t="str">
            <v>PS - Fire - Allowance for Uncollectibles</v>
          </cell>
          <cell r="E590" t="str">
            <v>2022</v>
          </cell>
          <cell r="F590">
            <v>0</v>
          </cell>
          <cell r="G590">
            <v>0</v>
          </cell>
          <cell r="H590">
            <v>0</v>
          </cell>
          <cell r="I590">
            <v>44926</v>
          </cell>
          <cell r="J590">
            <v>0</v>
          </cell>
          <cell r="K590">
            <v>0</v>
          </cell>
        </row>
        <row r="591">
          <cell r="B591" t="str">
            <v>525-920-100</v>
          </cell>
          <cell r="C591" t="str">
            <v>Expenditure</v>
          </cell>
          <cell r="D591" t="str">
            <v>PS - FIRE - OTHER</v>
          </cell>
          <cell r="E591" t="str">
            <v>2022</v>
          </cell>
          <cell r="F591">
            <v>0</v>
          </cell>
          <cell r="G591">
            <v>0</v>
          </cell>
          <cell r="H591">
            <v>0</v>
          </cell>
          <cell r="I591">
            <v>44926</v>
          </cell>
          <cell r="J591">
            <v>0</v>
          </cell>
          <cell r="K591">
            <v>0</v>
          </cell>
        </row>
        <row r="592">
          <cell r="B592" t="str">
            <v>525-920-110</v>
          </cell>
          <cell r="C592" t="str">
            <v>Expenditure</v>
          </cell>
          <cell r="D592" t="str">
            <v>PS - Fire - Other</v>
          </cell>
          <cell r="E592" t="str">
            <v>2022</v>
          </cell>
          <cell r="F592">
            <v>0</v>
          </cell>
          <cell r="G592">
            <v>0</v>
          </cell>
          <cell r="H592">
            <v>0</v>
          </cell>
          <cell r="I592">
            <v>44926</v>
          </cell>
          <cell r="J592">
            <v>0</v>
          </cell>
          <cell r="K592">
            <v>0</v>
          </cell>
        </row>
        <row r="593">
          <cell r="B593" t="str">
            <v>530-100-050</v>
          </cell>
          <cell r="C593" t="str">
            <v>Expenditure</v>
          </cell>
          <cell r="D593" t="str">
            <v>TRANSPORTATION SERVICES</v>
          </cell>
          <cell r="E593" t="str">
            <v>2022</v>
          </cell>
          <cell r="F593">
            <v>0</v>
          </cell>
          <cell r="G593">
            <v>0</v>
          </cell>
          <cell r="H593">
            <v>0</v>
          </cell>
          <cell r="I593">
            <v>44926</v>
          </cell>
          <cell r="J593">
            <v>0</v>
          </cell>
          <cell r="K593">
            <v>0</v>
          </cell>
        </row>
        <row r="594">
          <cell r="B594" t="str">
            <v>530-110-050</v>
          </cell>
          <cell r="C594" t="str">
            <v>Expenditure</v>
          </cell>
          <cell r="D594" t="str">
            <v>MAINTENANCE</v>
          </cell>
          <cell r="E594" t="str">
            <v>2022</v>
          </cell>
          <cell r="F594">
            <v>0</v>
          </cell>
          <cell r="G594">
            <v>0</v>
          </cell>
          <cell r="H594">
            <v>0</v>
          </cell>
          <cell r="I594">
            <v>44926</v>
          </cell>
          <cell r="J594">
            <v>0</v>
          </cell>
          <cell r="K594">
            <v>0</v>
          </cell>
        </row>
        <row r="595">
          <cell r="B595" t="str">
            <v>530-110-070</v>
          </cell>
          <cell r="C595" t="str">
            <v>Expenditure</v>
          </cell>
          <cell r="D595" t="str">
            <v>TS - MAINT. - WAGES AND BENEFITS</v>
          </cell>
          <cell r="E595" t="str">
            <v>2022</v>
          </cell>
          <cell r="F595">
            <v>0</v>
          </cell>
          <cell r="G595">
            <v>0</v>
          </cell>
          <cell r="H595">
            <v>0</v>
          </cell>
          <cell r="I595">
            <v>44926</v>
          </cell>
          <cell r="J595">
            <v>0</v>
          </cell>
          <cell r="K595">
            <v>0</v>
          </cell>
        </row>
        <row r="596">
          <cell r="B596" t="str">
            <v>530-110-100</v>
          </cell>
          <cell r="C596" t="str">
            <v>Expenditure</v>
          </cell>
          <cell r="D596" t="str">
            <v>TS - MAINT. - WAGES</v>
          </cell>
          <cell r="E596" t="str">
            <v>2022</v>
          </cell>
          <cell r="F596">
            <v>0</v>
          </cell>
          <cell r="G596">
            <v>0</v>
          </cell>
          <cell r="H596">
            <v>0</v>
          </cell>
          <cell r="I596">
            <v>44926</v>
          </cell>
          <cell r="J596">
            <v>0</v>
          </cell>
          <cell r="K596">
            <v>0</v>
          </cell>
        </row>
        <row r="597">
          <cell r="B597" t="str">
            <v>530-110-120</v>
          </cell>
          <cell r="C597" t="str">
            <v>Expenditure</v>
          </cell>
          <cell r="D597" t="str">
            <v>TS - Maint. - Salaries - Foreman</v>
          </cell>
          <cell r="E597" t="str">
            <v>2022</v>
          </cell>
          <cell r="F597">
            <v>0</v>
          </cell>
          <cell r="G597">
            <v>0</v>
          </cell>
          <cell r="H597">
            <v>0</v>
          </cell>
          <cell r="I597">
            <v>44926</v>
          </cell>
          <cell r="J597">
            <v>0</v>
          </cell>
          <cell r="K597">
            <v>0</v>
          </cell>
        </row>
        <row r="598">
          <cell r="B598" t="str">
            <v>530-110-130</v>
          </cell>
          <cell r="C598" t="str">
            <v>Expenditure</v>
          </cell>
          <cell r="D598" t="str">
            <v>TS - Maint. - Salaries - Transportation</v>
          </cell>
          <cell r="E598" t="str">
            <v>2022</v>
          </cell>
          <cell r="F598">
            <v>34948.639999999999</v>
          </cell>
          <cell r="G598">
            <v>34948.639999999999</v>
          </cell>
          <cell r="H598">
            <v>20034.34</v>
          </cell>
          <cell r="I598">
            <v>44926</v>
          </cell>
          <cell r="J598">
            <v>19543.689999999999</v>
          </cell>
          <cell r="K598">
            <v>29940.21</v>
          </cell>
        </row>
        <row r="599">
          <cell r="B599" t="str">
            <v>530-120-100</v>
          </cell>
          <cell r="C599" t="str">
            <v>Expenditure</v>
          </cell>
          <cell r="D599" t="str">
            <v>TS - MAINT. - BENEFITS</v>
          </cell>
          <cell r="E599" t="str">
            <v>2022</v>
          </cell>
          <cell r="F599">
            <v>0</v>
          </cell>
          <cell r="G599">
            <v>0</v>
          </cell>
          <cell r="H599">
            <v>0</v>
          </cell>
          <cell r="I599">
            <v>44926</v>
          </cell>
          <cell r="J599">
            <v>0</v>
          </cell>
          <cell r="K599">
            <v>0</v>
          </cell>
        </row>
        <row r="600">
          <cell r="B600" t="str">
            <v>530-120-120</v>
          </cell>
          <cell r="C600" t="str">
            <v>Expenditure</v>
          </cell>
          <cell r="D600" t="str">
            <v>TS - Maint. - Benefits - Foreman</v>
          </cell>
          <cell r="E600" t="str">
            <v>2022</v>
          </cell>
          <cell r="F600">
            <v>0</v>
          </cell>
          <cell r="G600">
            <v>0</v>
          </cell>
          <cell r="H600">
            <v>0</v>
          </cell>
          <cell r="I600">
            <v>44926</v>
          </cell>
          <cell r="J600">
            <v>0</v>
          </cell>
          <cell r="K600">
            <v>0</v>
          </cell>
        </row>
        <row r="601">
          <cell r="B601" t="str">
            <v>530-130-130</v>
          </cell>
          <cell r="C601" t="str">
            <v>Expenditure</v>
          </cell>
          <cell r="D601" t="str">
            <v>TS - Maint. - Benefits - Transportation</v>
          </cell>
          <cell r="E601" t="str">
            <v>2022</v>
          </cell>
          <cell r="F601">
            <v>4132.7</v>
          </cell>
          <cell r="G601">
            <v>4132.7</v>
          </cell>
          <cell r="H601">
            <v>4098.04</v>
          </cell>
          <cell r="I601">
            <v>44926</v>
          </cell>
          <cell r="J601">
            <v>3994.98</v>
          </cell>
          <cell r="K601">
            <v>5914.18</v>
          </cell>
        </row>
        <row r="602">
          <cell r="B602" t="str">
            <v>530-200-100</v>
          </cell>
          <cell r="C602" t="str">
            <v>Expenditure</v>
          </cell>
          <cell r="D602" t="str">
            <v>TS - MAINT. - PROF/CONTRACT SERVICES</v>
          </cell>
          <cell r="E602" t="str">
            <v>2022</v>
          </cell>
          <cell r="F602">
            <v>0</v>
          </cell>
          <cell r="G602">
            <v>0</v>
          </cell>
          <cell r="H602">
            <v>0</v>
          </cell>
          <cell r="I602">
            <v>44926</v>
          </cell>
          <cell r="J602">
            <v>0</v>
          </cell>
          <cell r="K602">
            <v>0</v>
          </cell>
        </row>
        <row r="603">
          <cell r="B603" t="str">
            <v>530-260-100</v>
          </cell>
          <cell r="C603" t="str">
            <v>Expenditure</v>
          </cell>
          <cell r="D603" t="str">
            <v>TS - Maint. - Insurance/Vehicle Reg.</v>
          </cell>
          <cell r="E603" t="str">
            <v>2022</v>
          </cell>
          <cell r="F603">
            <v>20825.45</v>
          </cell>
          <cell r="G603">
            <v>20825.45</v>
          </cell>
          <cell r="H603">
            <v>17107.689999999999</v>
          </cell>
          <cell r="I603">
            <v>44926</v>
          </cell>
          <cell r="J603">
            <v>20721.740000000002</v>
          </cell>
          <cell r="K603">
            <v>19477.66</v>
          </cell>
        </row>
        <row r="604">
          <cell r="B604" t="str">
            <v>530-290-100</v>
          </cell>
          <cell r="C604" t="str">
            <v>Expenditure</v>
          </cell>
          <cell r="D604" t="str">
            <v>TS - Maint. - Contracted Repairs</v>
          </cell>
          <cell r="E604" t="str">
            <v>2022</v>
          </cell>
          <cell r="F604">
            <v>60.13</v>
          </cell>
          <cell r="G604">
            <v>60.13</v>
          </cell>
          <cell r="H604">
            <v>21526.47</v>
          </cell>
          <cell r="I604">
            <v>44926</v>
          </cell>
          <cell r="J604">
            <v>5336.27</v>
          </cell>
          <cell r="K604">
            <v>18902.55</v>
          </cell>
        </row>
        <row r="605">
          <cell r="B605" t="str">
            <v>530-290-101</v>
          </cell>
          <cell r="C605" t="str">
            <v>Expenditure</v>
          </cell>
          <cell r="D605" t="str">
            <v>TS - Maint. - Repairs - Veh/Equip</v>
          </cell>
          <cell r="E605" t="str">
            <v>2022</v>
          </cell>
          <cell r="F605">
            <v>15473.96</v>
          </cell>
          <cell r="G605">
            <v>15473.96</v>
          </cell>
          <cell r="H605">
            <v>13794.16</v>
          </cell>
          <cell r="I605">
            <v>44926</v>
          </cell>
          <cell r="J605">
            <v>32650.49</v>
          </cell>
          <cell r="K605">
            <v>17891.86</v>
          </cell>
        </row>
        <row r="606">
          <cell r="B606" t="str">
            <v>530-400-100</v>
          </cell>
          <cell r="C606" t="str">
            <v>Expenditure</v>
          </cell>
          <cell r="D606" t="str">
            <v>TS - MAINT. - MATERIALS AND SUPPLIES</v>
          </cell>
          <cell r="E606" t="str">
            <v>2022</v>
          </cell>
          <cell r="F606">
            <v>0</v>
          </cell>
          <cell r="G606">
            <v>0</v>
          </cell>
          <cell r="H606">
            <v>0</v>
          </cell>
          <cell r="I606">
            <v>44926</v>
          </cell>
          <cell r="J606">
            <v>0</v>
          </cell>
          <cell r="K606">
            <v>0</v>
          </cell>
        </row>
        <row r="607">
          <cell r="B607" t="str">
            <v>530-400-110</v>
          </cell>
          <cell r="C607" t="str">
            <v>Expenditure</v>
          </cell>
          <cell r="D607" t="str">
            <v>TS - Maint. - Materials &amp; Supplies</v>
          </cell>
          <cell r="E607" t="str">
            <v>2022</v>
          </cell>
          <cell r="F607">
            <v>4189.32</v>
          </cell>
          <cell r="G607">
            <v>4189.32</v>
          </cell>
          <cell r="H607">
            <v>4784.8100000000004</v>
          </cell>
          <cell r="I607">
            <v>44926</v>
          </cell>
          <cell r="J607">
            <v>6840.34</v>
          </cell>
          <cell r="K607">
            <v>9547.35</v>
          </cell>
        </row>
        <row r="608">
          <cell r="B608" t="str">
            <v>530-425-110</v>
          </cell>
          <cell r="C608" t="str">
            <v>Expenditure</v>
          </cell>
          <cell r="D608" t="str">
            <v>TS - Maint. - Oil &amp; Gas</v>
          </cell>
          <cell r="E608" t="str">
            <v>2022</v>
          </cell>
          <cell r="F608">
            <v>23978.98</v>
          </cell>
          <cell r="G608">
            <v>23978.98</v>
          </cell>
          <cell r="H608">
            <v>36056.79</v>
          </cell>
          <cell r="I608">
            <v>44926</v>
          </cell>
          <cell r="J608">
            <v>28658.06</v>
          </cell>
          <cell r="K608">
            <v>29933.88</v>
          </cell>
        </row>
        <row r="609">
          <cell r="B609" t="str">
            <v>530-490-100</v>
          </cell>
          <cell r="C609" t="str">
            <v>Expenditure</v>
          </cell>
          <cell r="D609" t="str">
            <v>TS - Maint. - Airstrip</v>
          </cell>
          <cell r="E609" t="str">
            <v>2022</v>
          </cell>
          <cell r="F609">
            <v>0</v>
          </cell>
          <cell r="G609">
            <v>0</v>
          </cell>
          <cell r="H609">
            <v>800</v>
          </cell>
          <cell r="I609">
            <v>44926</v>
          </cell>
          <cell r="J609">
            <v>800</v>
          </cell>
          <cell r="K609">
            <v>3132.65</v>
          </cell>
        </row>
        <row r="610">
          <cell r="B610" t="str">
            <v>530-490-105</v>
          </cell>
          <cell r="C610" t="str">
            <v>Expenditure</v>
          </cell>
          <cell r="D610" t="str">
            <v>TS - Property &amp; Liability Ins.- Airstrip</v>
          </cell>
          <cell r="E610" t="str">
            <v>2022</v>
          </cell>
          <cell r="F610">
            <v>1052.1199999999999</v>
          </cell>
          <cell r="G610">
            <v>1052.1199999999999</v>
          </cell>
          <cell r="H610">
            <v>1052.1300000000001</v>
          </cell>
          <cell r="I610">
            <v>44926</v>
          </cell>
          <cell r="J610">
            <v>393.32</v>
          </cell>
          <cell r="K610">
            <v>699.6</v>
          </cell>
        </row>
        <row r="611">
          <cell r="B611" t="str">
            <v>530-490-106</v>
          </cell>
          <cell r="C611" t="str">
            <v>Expenditure</v>
          </cell>
          <cell r="D611" t="str">
            <v>TS - Property &amp; Liability Ins. - Equip</v>
          </cell>
          <cell r="E611" t="str">
            <v>2022</v>
          </cell>
          <cell r="F611">
            <v>5276.38</v>
          </cell>
          <cell r="G611">
            <v>5276.38</v>
          </cell>
          <cell r="H611">
            <v>4828.91</v>
          </cell>
          <cell r="I611">
            <v>44926</v>
          </cell>
          <cell r="J611">
            <v>3878.6</v>
          </cell>
          <cell r="K611">
            <v>4287.8599999999997</v>
          </cell>
        </row>
        <row r="612">
          <cell r="B612" t="str">
            <v>530-490-110</v>
          </cell>
          <cell r="C612" t="str">
            <v>Expenditure</v>
          </cell>
          <cell r="D612" t="str">
            <v>TS - Power - Airstrip</v>
          </cell>
          <cell r="E612" t="str">
            <v>2022</v>
          </cell>
          <cell r="F612">
            <v>612.88</v>
          </cell>
          <cell r="G612">
            <v>612.88</v>
          </cell>
          <cell r="H612">
            <v>702.41</v>
          </cell>
          <cell r="I612">
            <v>44926</v>
          </cell>
          <cell r="J612">
            <v>840.27</v>
          </cell>
          <cell r="K612">
            <v>713.64</v>
          </cell>
        </row>
        <row r="613">
          <cell r="B613" t="str">
            <v>530-500-100</v>
          </cell>
          <cell r="C613" t="str">
            <v>Expenditure</v>
          </cell>
          <cell r="D613" t="str">
            <v>TS - MAINT. - GRANTS AND CONTRIBUTIONS</v>
          </cell>
          <cell r="E613" t="str">
            <v>2022</v>
          </cell>
          <cell r="F613">
            <v>0</v>
          </cell>
          <cell r="G613">
            <v>0</v>
          </cell>
          <cell r="H613">
            <v>0</v>
          </cell>
          <cell r="I613">
            <v>44926</v>
          </cell>
          <cell r="J613">
            <v>0</v>
          </cell>
          <cell r="K613">
            <v>0</v>
          </cell>
        </row>
        <row r="614">
          <cell r="B614" t="str">
            <v>530-500-110</v>
          </cell>
          <cell r="C614" t="str">
            <v>Expenditure</v>
          </cell>
          <cell r="D614" t="str">
            <v>TS - Maint. - Grants and Contributions</v>
          </cell>
          <cell r="E614" t="str">
            <v>2022</v>
          </cell>
          <cell r="F614">
            <v>0</v>
          </cell>
          <cell r="G614">
            <v>0</v>
          </cell>
          <cell r="H614">
            <v>0</v>
          </cell>
          <cell r="I614">
            <v>44926</v>
          </cell>
          <cell r="J614">
            <v>0</v>
          </cell>
          <cell r="K614">
            <v>0</v>
          </cell>
        </row>
        <row r="615">
          <cell r="B615" t="str">
            <v>530-600-100</v>
          </cell>
          <cell r="C615" t="str">
            <v>Expenditure</v>
          </cell>
          <cell r="D615" t="str">
            <v>TS - MAINT. - CAPITAL EXPENDITURES</v>
          </cell>
          <cell r="E615" t="str">
            <v>2022</v>
          </cell>
          <cell r="F615">
            <v>0</v>
          </cell>
          <cell r="G615">
            <v>0</v>
          </cell>
          <cell r="H615">
            <v>0</v>
          </cell>
          <cell r="I615">
            <v>44926</v>
          </cell>
          <cell r="J615">
            <v>0</v>
          </cell>
          <cell r="K615">
            <v>0</v>
          </cell>
        </row>
        <row r="616">
          <cell r="B616" t="str">
            <v>530-600-130</v>
          </cell>
          <cell r="C616" t="str">
            <v>Expenditure</v>
          </cell>
          <cell r="D616" t="str">
            <v>TS - Purchase of Cap Assets - Mach</v>
          </cell>
          <cell r="E616" t="str">
            <v>2022</v>
          </cell>
          <cell r="F616">
            <v>0</v>
          </cell>
          <cell r="G616">
            <v>0</v>
          </cell>
          <cell r="H616">
            <v>0</v>
          </cell>
          <cell r="I616">
            <v>44926</v>
          </cell>
          <cell r="J616">
            <v>0</v>
          </cell>
          <cell r="K616">
            <v>0</v>
          </cell>
        </row>
        <row r="617">
          <cell r="B617" t="str">
            <v>530-600-140</v>
          </cell>
          <cell r="C617" t="str">
            <v>Expenditure</v>
          </cell>
          <cell r="D617" t="str">
            <v>TS - Purchase of Cap Assets - Equipment</v>
          </cell>
          <cell r="E617" t="str">
            <v>2022</v>
          </cell>
          <cell r="F617">
            <v>0</v>
          </cell>
          <cell r="G617">
            <v>0</v>
          </cell>
          <cell r="H617">
            <v>0</v>
          </cell>
          <cell r="I617">
            <v>44926</v>
          </cell>
          <cell r="J617">
            <v>0</v>
          </cell>
          <cell r="K617">
            <v>0</v>
          </cell>
        </row>
        <row r="618">
          <cell r="B618" t="str">
            <v>535-100-050</v>
          </cell>
          <cell r="C618" t="str">
            <v>Expenditure</v>
          </cell>
          <cell r="D618" t="str">
            <v>CONSTRUCTION</v>
          </cell>
          <cell r="E618" t="str">
            <v>2022</v>
          </cell>
          <cell r="F618">
            <v>0</v>
          </cell>
          <cell r="G618">
            <v>0</v>
          </cell>
          <cell r="H618">
            <v>0</v>
          </cell>
          <cell r="I618">
            <v>44926</v>
          </cell>
          <cell r="J618">
            <v>0</v>
          </cell>
          <cell r="K618">
            <v>0</v>
          </cell>
        </row>
        <row r="619">
          <cell r="B619" t="str">
            <v>535-110-070</v>
          </cell>
          <cell r="C619" t="str">
            <v>Expenditure</v>
          </cell>
          <cell r="D619" t="str">
            <v>TS - CONST. - WAGES AND BENEFITS</v>
          </cell>
          <cell r="E619" t="str">
            <v>2022</v>
          </cell>
          <cell r="F619">
            <v>0</v>
          </cell>
          <cell r="G619">
            <v>0</v>
          </cell>
          <cell r="H619">
            <v>0</v>
          </cell>
          <cell r="I619">
            <v>44926</v>
          </cell>
          <cell r="J619">
            <v>0</v>
          </cell>
          <cell r="K619">
            <v>0</v>
          </cell>
        </row>
        <row r="620">
          <cell r="B620" t="str">
            <v>535-110-100</v>
          </cell>
          <cell r="C620" t="str">
            <v>Expenditure</v>
          </cell>
          <cell r="D620" t="str">
            <v>TS - CONST. - WAGES</v>
          </cell>
          <cell r="E620" t="str">
            <v>2022</v>
          </cell>
          <cell r="F620">
            <v>0</v>
          </cell>
          <cell r="G620">
            <v>0</v>
          </cell>
          <cell r="H620">
            <v>0</v>
          </cell>
          <cell r="I620">
            <v>44926</v>
          </cell>
          <cell r="J620">
            <v>0</v>
          </cell>
          <cell r="K620">
            <v>0</v>
          </cell>
        </row>
        <row r="621">
          <cell r="B621" t="str">
            <v>535-110-120</v>
          </cell>
          <cell r="C621" t="str">
            <v>Expenditure</v>
          </cell>
          <cell r="D621" t="str">
            <v>TS - Const. - Salaries - PW Admin</v>
          </cell>
          <cell r="E621" t="str">
            <v>2022</v>
          </cell>
          <cell r="F621">
            <v>34314.01</v>
          </cell>
          <cell r="G621">
            <v>34314.01</v>
          </cell>
          <cell r="H621">
            <v>77187.990000000005</v>
          </cell>
          <cell r="I621">
            <v>44926</v>
          </cell>
        </row>
        <row r="622">
          <cell r="B622" t="str">
            <v>535-110-130</v>
          </cell>
          <cell r="C622" t="str">
            <v>Expenditure</v>
          </cell>
          <cell r="D622" t="str">
            <v>TS - Const. - Salaries - Shop &amp; Yard</v>
          </cell>
          <cell r="E622" t="str">
            <v>2022</v>
          </cell>
          <cell r="F622">
            <v>19990.900000000001</v>
          </cell>
          <cell r="G622">
            <v>19990.900000000001</v>
          </cell>
          <cell r="H622">
            <v>42163.45</v>
          </cell>
          <cell r="I622">
            <v>44926</v>
          </cell>
        </row>
        <row r="623">
          <cell r="B623" t="str">
            <v>535-110-140</v>
          </cell>
          <cell r="C623" t="str">
            <v>Expenditure</v>
          </cell>
          <cell r="D623" t="str">
            <v>TS - Const. - Salaries - Streets</v>
          </cell>
          <cell r="E623" t="str">
            <v>2022</v>
          </cell>
          <cell r="F623">
            <v>48947.19</v>
          </cell>
          <cell r="G623">
            <v>48947.19</v>
          </cell>
          <cell r="H623">
            <v>79858.66</v>
          </cell>
          <cell r="I623">
            <v>44926</v>
          </cell>
        </row>
        <row r="624">
          <cell r="B624" t="str">
            <v>535-110-150</v>
          </cell>
          <cell r="C624" t="str">
            <v>Expenditure</v>
          </cell>
          <cell r="D624" t="str">
            <v>TS - Const. - Salaries - Mowing/Snow</v>
          </cell>
          <cell r="E624" t="str">
            <v>2022</v>
          </cell>
          <cell r="F624">
            <v>3671.94</v>
          </cell>
          <cell r="G624">
            <v>3671.94</v>
          </cell>
          <cell r="H624">
            <v>16364.39</v>
          </cell>
          <cell r="I624">
            <v>44926</v>
          </cell>
        </row>
        <row r="625">
          <cell r="B625" t="str">
            <v>535-120-100</v>
          </cell>
          <cell r="C625" t="str">
            <v>Expenditure</v>
          </cell>
          <cell r="D625" t="str">
            <v>TS - CONST. - BENEFITS</v>
          </cell>
          <cell r="E625" t="str">
            <v>2022</v>
          </cell>
          <cell r="F625">
            <v>0</v>
          </cell>
          <cell r="G625">
            <v>0</v>
          </cell>
          <cell r="H625">
            <v>0</v>
          </cell>
          <cell r="I625">
            <v>44926</v>
          </cell>
          <cell r="J625">
            <v>0</v>
          </cell>
          <cell r="K625">
            <v>0</v>
          </cell>
        </row>
        <row r="626">
          <cell r="B626" t="str">
            <v>535-120-120</v>
          </cell>
          <cell r="C626" t="str">
            <v>Expenditure</v>
          </cell>
          <cell r="D626" t="str">
            <v>TS - Const. - Benefits - Foreman</v>
          </cell>
          <cell r="E626" t="str">
            <v>2022</v>
          </cell>
          <cell r="F626">
            <v>0</v>
          </cell>
          <cell r="G626">
            <v>0</v>
          </cell>
          <cell r="H626">
            <v>0</v>
          </cell>
          <cell r="I626">
            <v>44926</v>
          </cell>
          <cell r="J626">
            <v>0</v>
          </cell>
          <cell r="K626">
            <v>0</v>
          </cell>
        </row>
        <row r="627">
          <cell r="B627" t="str">
            <v>535-120-121</v>
          </cell>
          <cell r="C627" t="str">
            <v>Expenditure</v>
          </cell>
          <cell r="D627" t="str">
            <v>TS - Const. - Benefits - CPP</v>
          </cell>
          <cell r="E627" t="str">
            <v>2022</v>
          </cell>
          <cell r="F627">
            <v>11524.29</v>
          </cell>
          <cell r="G627">
            <v>11524.29</v>
          </cell>
          <cell r="H627">
            <v>3658.27</v>
          </cell>
          <cell r="I627">
            <v>44926</v>
          </cell>
          <cell r="J627">
            <v>3798.4</v>
          </cell>
          <cell r="K627">
            <v>2657.53</v>
          </cell>
        </row>
        <row r="628">
          <cell r="B628" t="str">
            <v>535-120-122</v>
          </cell>
          <cell r="C628" t="str">
            <v>Expenditure</v>
          </cell>
          <cell r="D628" t="str">
            <v>TS - Const. - Benefits - EI</v>
          </cell>
          <cell r="E628" t="str">
            <v>2022</v>
          </cell>
          <cell r="F628">
            <v>4539.8100000000004</v>
          </cell>
          <cell r="G628">
            <v>4539.8100000000004</v>
          </cell>
          <cell r="H628">
            <v>1405.22</v>
          </cell>
          <cell r="I628">
            <v>44926</v>
          </cell>
          <cell r="J628">
            <v>1478.95</v>
          </cell>
          <cell r="K628">
            <v>2303.41</v>
          </cell>
        </row>
        <row r="629">
          <cell r="B629" t="str">
            <v>535-120-123</v>
          </cell>
          <cell r="C629" t="str">
            <v>Expenditure</v>
          </cell>
          <cell r="D629" t="str">
            <v>TS - Const. - Benefits - MEPP</v>
          </cell>
          <cell r="E629" t="str">
            <v>2022</v>
          </cell>
          <cell r="F629">
            <v>2396.27</v>
          </cell>
          <cell r="G629">
            <v>2396.27</v>
          </cell>
          <cell r="H629">
            <v>6711.08</v>
          </cell>
          <cell r="I629">
            <v>44926</v>
          </cell>
          <cell r="J629">
            <v>7952.38</v>
          </cell>
          <cell r="K629">
            <v>7993.77</v>
          </cell>
        </row>
        <row r="630">
          <cell r="B630" t="str">
            <v>535-120-124</v>
          </cell>
          <cell r="C630" t="str">
            <v>Expenditure</v>
          </cell>
          <cell r="D630" t="str">
            <v>TS - Const. - Benefits - Worker Comp</v>
          </cell>
          <cell r="E630" t="str">
            <v>2022</v>
          </cell>
          <cell r="F630">
            <v>1397.95</v>
          </cell>
          <cell r="G630">
            <v>1397.95</v>
          </cell>
          <cell r="H630">
            <v>1354.86</v>
          </cell>
          <cell r="I630">
            <v>44926</v>
          </cell>
          <cell r="J630">
            <v>1315.64</v>
          </cell>
          <cell r="K630">
            <v>126.99</v>
          </cell>
        </row>
        <row r="631">
          <cell r="B631" t="str">
            <v>535-120-125</v>
          </cell>
          <cell r="C631" t="str">
            <v>Expenditure</v>
          </cell>
          <cell r="D631" t="str">
            <v>TS - Const. - Benefits - Group Benefits</v>
          </cell>
          <cell r="E631" t="str">
            <v>2022</v>
          </cell>
          <cell r="F631">
            <v>2207.62</v>
          </cell>
          <cell r="G631">
            <v>2207.62</v>
          </cell>
          <cell r="H631">
            <v>5248.55</v>
          </cell>
          <cell r="I631">
            <v>44926</v>
          </cell>
          <cell r="J631">
            <v>4145.5200000000004</v>
          </cell>
          <cell r="K631">
            <v>5150.3900000000003</v>
          </cell>
        </row>
        <row r="632">
          <cell r="B632" t="str">
            <v>535-130-130</v>
          </cell>
          <cell r="C632" t="str">
            <v>Expenditure</v>
          </cell>
          <cell r="D632" t="str">
            <v>TS - Const. - Benefits - Shop/Yard</v>
          </cell>
          <cell r="E632" t="str">
            <v>2022</v>
          </cell>
          <cell r="F632">
            <v>2768.87</v>
          </cell>
          <cell r="G632">
            <v>2768.87</v>
          </cell>
          <cell r="H632">
            <v>8365.94</v>
          </cell>
          <cell r="I632">
            <v>44926</v>
          </cell>
          <cell r="J632">
            <v>5680.88</v>
          </cell>
          <cell r="K632">
            <v>6316.46</v>
          </cell>
        </row>
        <row r="633">
          <cell r="B633" t="str">
            <v>535-140-140</v>
          </cell>
          <cell r="C633" t="str">
            <v>Expenditure</v>
          </cell>
          <cell r="D633" t="str">
            <v>TS - Const. - Benefits - Streets</v>
          </cell>
          <cell r="E633" t="str">
            <v>2022</v>
          </cell>
          <cell r="F633">
            <v>7866.84</v>
          </cell>
          <cell r="G633">
            <v>7866.84</v>
          </cell>
          <cell r="H633">
            <v>17825.36</v>
          </cell>
          <cell r="I633">
            <v>44926</v>
          </cell>
          <cell r="J633">
            <v>18588.37</v>
          </cell>
          <cell r="K633">
            <v>19250.849999999999</v>
          </cell>
        </row>
        <row r="634">
          <cell r="B634" t="str">
            <v>535-150-150</v>
          </cell>
          <cell r="C634" t="str">
            <v>Expenditure</v>
          </cell>
          <cell r="D634" t="str">
            <v>TS - Const. - Benefits - Mowing/Snow</v>
          </cell>
          <cell r="E634" t="str">
            <v>2022</v>
          </cell>
          <cell r="F634">
            <v>946.5</v>
          </cell>
          <cell r="G634">
            <v>946.5</v>
          </cell>
          <cell r="H634">
            <v>3376.93</v>
          </cell>
          <cell r="I634">
            <v>44926</v>
          </cell>
          <cell r="J634">
            <v>6788.46</v>
          </cell>
          <cell r="K634">
            <v>3937.81</v>
          </cell>
        </row>
        <row r="635">
          <cell r="B635" t="str">
            <v>535-200-100</v>
          </cell>
          <cell r="C635" t="str">
            <v>Expenditure</v>
          </cell>
          <cell r="D635" t="str">
            <v>TS - CONST. - PROF/CONTRACT SERVICES</v>
          </cell>
          <cell r="E635" t="str">
            <v>2022</v>
          </cell>
          <cell r="F635">
            <v>0</v>
          </cell>
          <cell r="G635">
            <v>0</v>
          </cell>
          <cell r="H635">
            <v>0</v>
          </cell>
          <cell r="I635">
            <v>44926</v>
          </cell>
          <cell r="J635">
            <v>0</v>
          </cell>
          <cell r="K635">
            <v>0</v>
          </cell>
        </row>
        <row r="636">
          <cell r="B636" t="str">
            <v>535-210-110</v>
          </cell>
          <cell r="C636" t="str">
            <v>Expenditure</v>
          </cell>
          <cell r="D636" t="str">
            <v>TS - Const. - Contract - Streets &amp; Roads</v>
          </cell>
          <cell r="E636" t="str">
            <v>2022</v>
          </cell>
          <cell r="F636">
            <v>9996.5</v>
          </cell>
          <cell r="G636">
            <v>9996.5</v>
          </cell>
          <cell r="H636">
            <v>10945.32</v>
          </cell>
          <cell r="I636">
            <v>44926</v>
          </cell>
          <cell r="J636">
            <v>16501.71</v>
          </cell>
          <cell r="K636">
            <v>21373.25</v>
          </cell>
        </row>
        <row r="637">
          <cell r="B637" t="str">
            <v>535-210-140</v>
          </cell>
          <cell r="C637" t="str">
            <v>Expenditure</v>
          </cell>
          <cell r="D637" t="str">
            <v>TS - Const. - Contract - Other</v>
          </cell>
          <cell r="E637" t="str">
            <v>2022</v>
          </cell>
          <cell r="F637">
            <v>0</v>
          </cell>
          <cell r="G637">
            <v>0</v>
          </cell>
          <cell r="H637">
            <v>0</v>
          </cell>
          <cell r="I637">
            <v>44926</v>
          </cell>
          <cell r="J637">
            <v>0</v>
          </cell>
          <cell r="K637">
            <v>0</v>
          </cell>
        </row>
        <row r="638">
          <cell r="B638" t="str">
            <v>535-230-100</v>
          </cell>
          <cell r="C638" t="str">
            <v>Expenditure</v>
          </cell>
          <cell r="D638" t="str">
            <v>TS - Const. - Insurance - General - Shop</v>
          </cell>
          <cell r="E638" t="str">
            <v>2022</v>
          </cell>
          <cell r="F638">
            <v>1389.2</v>
          </cell>
          <cell r="G638">
            <v>1389.2</v>
          </cell>
          <cell r="H638">
            <v>1294.8699999999999</v>
          </cell>
          <cell r="I638">
            <v>44926</v>
          </cell>
          <cell r="J638">
            <v>671.04</v>
          </cell>
          <cell r="K638">
            <v>902.06</v>
          </cell>
        </row>
        <row r="639">
          <cell r="B639" t="str">
            <v>535-240-100</v>
          </cell>
          <cell r="C639" t="str">
            <v>Expenditure</v>
          </cell>
          <cell r="D639" t="str">
            <v>TS - Const. - Advertising - PW</v>
          </cell>
          <cell r="E639" t="str">
            <v>2022</v>
          </cell>
          <cell r="F639">
            <v>0</v>
          </cell>
          <cell r="G639">
            <v>0</v>
          </cell>
          <cell r="H639">
            <v>0</v>
          </cell>
          <cell r="I639">
            <v>44926</v>
          </cell>
          <cell r="J639">
            <v>500</v>
          </cell>
          <cell r="K639">
            <v>500</v>
          </cell>
        </row>
        <row r="640">
          <cell r="B640" t="str">
            <v>535-250-100</v>
          </cell>
          <cell r="C640" t="str">
            <v>Expenditure</v>
          </cell>
          <cell r="D640" t="str">
            <v>TS - Const. - Travel, Meal &amp; Sub. - PW</v>
          </cell>
          <cell r="E640" t="str">
            <v>2022</v>
          </cell>
          <cell r="F640">
            <v>0</v>
          </cell>
          <cell r="G640">
            <v>0</v>
          </cell>
          <cell r="H640">
            <v>0</v>
          </cell>
          <cell r="I640">
            <v>44926</v>
          </cell>
          <cell r="J640">
            <v>0</v>
          </cell>
          <cell r="K640">
            <v>0</v>
          </cell>
        </row>
        <row r="641">
          <cell r="B641" t="str">
            <v>535-250-105</v>
          </cell>
          <cell r="C641" t="str">
            <v>Expenditure</v>
          </cell>
          <cell r="D641" t="str">
            <v>TS - Const.- Conference Fees/Training PW</v>
          </cell>
          <cell r="E641" t="str">
            <v>2022</v>
          </cell>
          <cell r="F641">
            <v>126.19</v>
          </cell>
          <cell r="G641">
            <v>126.19</v>
          </cell>
          <cell r="H641">
            <v>7377.64</v>
          </cell>
          <cell r="I641">
            <v>44926</v>
          </cell>
          <cell r="J641">
            <v>334.95</v>
          </cell>
          <cell r="K641">
            <v>1114.8</v>
          </cell>
        </row>
        <row r="642">
          <cell r="B642" t="str">
            <v>535-300-100</v>
          </cell>
          <cell r="C642" t="str">
            <v>Expenditure</v>
          </cell>
          <cell r="D642" t="str">
            <v>TS - CONST. - UTILITIES</v>
          </cell>
          <cell r="E642" t="str">
            <v>2022</v>
          </cell>
          <cell r="F642">
            <v>0</v>
          </cell>
          <cell r="G642">
            <v>0</v>
          </cell>
          <cell r="H642">
            <v>0</v>
          </cell>
          <cell r="I642">
            <v>44926</v>
          </cell>
          <cell r="J642">
            <v>0</v>
          </cell>
          <cell r="K642">
            <v>0</v>
          </cell>
        </row>
        <row r="643">
          <cell r="B643" t="str">
            <v>535-300-110</v>
          </cell>
          <cell r="C643" t="str">
            <v>Expenditure</v>
          </cell>
          <cell r="D643" t="str">
            <v>TS - Const. - Utility - Heat - Shop</v>
          </cell>
          <cell r="E643" t="str">
            <v>2022</v>
          </cell>
          <cell r="F643">
            <v>3823.75</v>
          </cell>
          <cell r="G643">
            <v>3823.75</v>
          </cell>
          <cell r="H643">
            <v>4491.07</v>
          </cell>
          <cell r="I643">
            <v>44926</v>
          </cell>
          <cell r="J643">
            <v>4329.1400000000003</v>
          </cell>
          <cell r="K643">
            <v>4042.86</v>
          </cell>
        </row>
        <row r="644">
          <cell r="B644" t="str">
            <v>535-300-120</v>
          </cell>
          <cell r="C644" t="str">
            <v>Expenditure</v>
          </cell>
          <cell r="D644" t="str">
            <v>TS - Const. - Utility - Power - Shop</v>
          </cell>
          <cell r="E644" t="str">
            <v>2022</v>
          </cell>
          <cell r="F644">
            <v>4694.8999999999996</v>
          </cell>
          <cell r="G644">
            <v>4694.8999999999996</v>
          </cell>
          <cell r="H644">
            <v>5549.37</v>
          </cell>
          <cell r="I644">
            <v>44926</v>
          </cell>
          <cell r="J644">
            <v>6608.51</v>
          </cell>
          <cell r="K644">
            <v>7800.84</v>
          </cell>
        </row>
        <row r="645">
          <cell r="B645" t="str">
            <v>535-300-130</v>
          </cell>
          <cell r="C645" t="str">
            <v>Expenditure</v>
          </cell>
          <cell r="D645" t="str">
            <v>TS - Const. - Utility - Water - Shop</v>
          </cell>
          <cell r="E645" t="str">
            <v>2022</v>
          </cell>
          <cell r="F645">
            <v>0</v>
          </cell>
          <cell r="G645">
            <v>0</v>
          </cell>
          <cell r="H645">
            <v>0</v>
          </cell>
          <cell r="I645">
            <v>44926</v>
          </cell>
          <cell r="J645">
            <v>0</v>
          </cell>
          <cell r="K645">
            <v>0</v>
          </cell>
        </row>
        <row r="646">
          <cell r="B646" t="str">
            <v>535-300-140</v>
          </cell>
          <cell r="C646" t="str">
            <v>Expenditure</v>
          </cell>
          <cell r="D646" t="str">
            <v>TS - Const. - Utility - Telephone - Shop</v>
          </cell>
          <cell r="E646" t="str">
            <v>2022</v>
          </cell>
          <cell r="F646">
            <v>3139.52</v>
          </cell>
          <cell r="G646">
            <v>3139.52</v>
          </cell>
          <cell r="H646">
            <v>4615.34</v>
          </cell>
          <cell r="I646">
            <v>44926</v>
          </cell>
          <cell r="J646">
            <v>4553.97</v>
          </cell>
          <cell r="K646">
            <v>5546.99</v>
          </cell>
        </row>
        <row r="647">
          <cell r="B647" t="str">
            <v>535-300-150</v>
          </cell>
          <cell r="C647" t="str">
            <v>Expenditure</v>
          </cell>
          <cell r="D647" t="str">
            <v>TS - Const. - Utility - Other</v>
          </cell>
          <cell r="E647" t="str">
            <v>2022</v>
          </cell>
          <cell r="F647">
            <v>0</v>
          </cell>
          <cell r="G647">
            <v>0</v>
          </cell>
          <cell r="H647">
            <v>0</v>
          </cell>
          <cell r="I647">
            <v>44926</v>
          </cell>
          <cell r="J647">
            <v>0</v>
          </cell>
          <cell r="K647">
            <v>0</v>
          </cell>
        </row>
        <row r="648">
          <cell r="B648" t="str">
            <v>535-400-100</v>
          </cell>
          <cell r="C648" t="str">
            <v>Expenditure</v>
          </cell>
          <cell r="D648" t="str">
            <v>TS - CONST. - MAINT. MAT. AND SUPPLIES</v>
          </cell>
          <cell r="E648" t="str">
            <v>2022</v>
          </cell>
          <cell r="F648">
            <v>0</v>
          </cell>
          <cell r="G648">
            <v>0</v>
          </cell>
          <cell r="H648">
            <v>0</v>
          </cell>
          <cell r="I648">
            <v>44926</v>
          </cell>
          <cell r="J648">
            <v>0</v>
          </cell>
          <cell r="K648">
            <v>0</v>
          </cell>
        </row>
        <row r="649">
          <cell r="B649" t="str">
            <v>535-400-110</v>
          </cell>
          <cell r="C649" t="str">
            <v>Expenditure</v>
          </cell>
          <cell r="D649" t="str">
            <v>TS - Const. - Building Maint. Mat &amp; Sup</v>
          </cell>
          <cell r="E649" t="str">
            <v>2022</v>
          </cell>
          <cell r="F649">
            <v>70.900000000000006</v>
          </cell>
          <cell r="G649">
            <v>70.900000000000006</v>
          </cell>
          <cell r="H649">
            <v>0</v>
          </cell>
          <cell r="I649">
            <v>44926</v>
          </cell>
          <cell r="J649">
            <v>0.1</v>
          </cell>
          <cell r="K649">
            <v>0</v>
          </cell>
        </row>
        <row r="650">
          <cell r="B650" t="str">
            <v>535-400-130</v>
          </cell>
          <cell r="C650" t="str">
            <v>Expenditure</v>
          </cell>
          <cell r="D650" t="str">
            <v>TS - Const. - Building Maint. Materials</v>
          </cell>
          <cell r="E650" t="str">
            <v>2022</v>
          </cell>
          <cell r="F650">
            <v>0</v>
          </cell>
          <cell r="G650">
            <v>0</v>
          </cell>
          <cell r="H650">
            <v>0</v>
          </cell>
          <cell r="I650">
            <v>44926</v>
          </cell>
          <cell r="J650">
            <v>0</v>
          </cell>
          <cell r="K650">
            <v>0</v>
          </cell>
        </row>
        <row r="651">
          <cell r="B651" t="str">
            <v>535-400-150</v>
          </cell>
          <cell r="C651" t="str">
            <v>Expenditure</v>
          </cell>
          <cell r="D651" t="str">
            <v>TS - Const. - Maint. Building</v>
          </cell>
          <cell r="E651" t="str">
            <v>2022</v>
          </cell>
          <cell r="F651">
            <v>6126.82</v>
          </cell>
          <cell r="G651">
            <v>6126.82</v>
          </cell>
          <cell r="H651">
            <v>2580.6799999999998</v>
          </cell>
          <cell r="I651">
            <v>44926</v>
          </cell>
          <cell r="J651">
            <v>32730.53</v>
          </cell>
          <cell r="K651">
            <v>16606.099999999999</v>
          </cell>
        </row>
        <row r="652">
          <cell r="B652" t="str">
            <v>535-400-155</v>
          </cell>
          <cell r="C652" t="str">
            <v>Expenditure</v>
          </cell>
          <cell r="D652" t="str">
            <v>TS - Const. - Maint. Supplies - Streets</v>
          </cell>
          <cell r="E652" t="str">
            <v>2022</v>
          </cell>
          <cell r="F652">
            <v>2539.46</v>
          </cell>
          <cell r="G652">
            <v>2539.46</v>
          </cell>
          <cell r="H652">
            <v>3230.38</v>
          </cell>
          <cell r="I652">
            <v>44926</v>
          </cell>
          <cell r="J652">
            <v>7826.85</v>
          </cell>
          <cell r="K652">
            <v>821.56</v>
          </cell>
        </row>
        <row r="653">
          <cell r="B653" t="str">
            <v>535-400-160</v>
          </cell>
          <cell r="C653" t="str">
            <v>Expenditure</v>
          </cell>
          <cell r="D653" t="str">
            <v>TS - Const. - Supplies - Mowing</v>
          </cell>
          <cell r="E653" t="str">
            <v>2022</v>
          </cell>
          <cell r="F653">
            <v>131.96</v>
          </cell>
          <cell r="G653">
            <v>131.96</v>
          </cell>
          <cell r="H653">
            <v>1152.3</v>
          </cell>
          <cell r="I653">
            <v>44926</v>
          </cell>
          <cell r="J653">
            <v>2000</v>
          </cell>
          <cell r="K653">
            <v>830.7</v>
          </cell>
        </row>
        <row r="654">
          <cell r="B654" t="str">
            <v>535-400-165</v>
          </cell>
          <cell r="C654" t="str">
            <v>Expenditure</v>
          </cell>
          <cell r="D654" t="str">
            <v>TS - Const. - Other Supplies - Mowing</v>
          </cell>
          <cell r="E654" t="str">
            <v>2022</v>
          </cell>
          <cell r="F654">
            <v>0</v>
          </cell>
          <cell r="G654">
            <v>0</v>
          </cell>
          <cell r="H654">
            <v>0</v>
          </cell>
          <cell r="I654">
            <v>44926</v>
          </cell>
          <cell r="J654">
            <v>0</v>
          </cell>
          <cell r="K654">
            <v>9.85</v>
          </cell>
        </row>
        <row r="655">
          <cell r="B655" t="str">
            <v>535-410-100</v>
          </cell>
          <cell r="C655" t="str">
            <v>Expenditure</v>
          </cell>
          <cell r="D655" t="str">
            <v>TS - Const. - Shop Supply &amp; Small Tools</v>
          </cell>
          <cell r="E655" t="str">
            <v>2022</v>
          </cell>
          <cell r="F655">
            <v>4999.99</v>
          </cell>
          <cell r="G655">
            <v>4999.99</v>
          </cell>
          <cell r="H655">
            <v>7572.77</v>
          </cell>
          <cell r="I655">
            <v>44926</v>
          </cell>
          <cell r="J655">
            <v>4403.47</v>
          </cell>
          <cell r="K655">
            <v>14228.63</v>
          </cell>
        </row>
        <row r="656">
          <cell r="B656" t="str">
            <v>535-410-120</v>
          </cell>
          <cell r="C656" t="str">
            <v>Expenditure</v>
          </cell>
          <cell r="D656" t="str">
            <v>TS - Const. - Shop Supplies</v>
          </cell>
          <cell r="E656" t="str">
            <v>2022</v>
          </cell>
          <cell r="F656">
            <v>5114.1099999999997</v>
          </cell>
          <cell r="G656">
            <v>5114.1099999999997</v>
          </cell>
          <cell r="H656">
            <v>12364.97</v>
          </cell>
          <cell r="I656">
            <v>44926</v>
          </cell>
          <cell r="J656">
            <v>12151.32</v>
          </cell>
          <cell r="K656">
            <v>8469.75</v>
          </cell>
        </row>
        <row r="657">
          <cell r="B657" t="str">
            <v>535-410-130</v>
          </cell>
          <cell r="C657" t="str">
            <v>Expenditure</v>
          </cell>
          <cell r="D657" t="str">
            <v>TS - Const. - Small Tools</v>
          </cell>
          <cell r="E657" t="str">
            <v>2022</v>
          </cell>
          <cell r="F657">
            <v>0</v>
          </cell>
          <cell r="G657">
            <v>0</v>
          </cell>
          <cell r="H657">
            <v>0</v>
          </cell>
          <cell r="I657">
            <v>44926</v>
          </cell>
          <cell r="J657">
            <v>0</v>
          </cell>
          <cell r="K657">
            <v>0</v>
          </cell>
        </row>
        <row r="658">
          <cell r="B658" t="str">
            <v>535-430-130</v>
          </cell>
          <cell r="C658" t="str">
            <v>Expenditure</v>
          </cell>
          <cell r="D658" t="str">
            <v>TS - Const. - Street Lights</v>
          </cell>
          <cell r="E658" t="str">
            <v>2022</v>
          </cell>
          <cell r="F658">
            <v>27206.44</v>
          </cell>
          <cell r="G658">
            <v>27206.44</v>
          </cell>
          <cell r="H658">
            <v>42692.42</v>
          </cell>
          <cell r="I658">
            <v>44926</v>
          </cell>
        </row>
        <row r="659">
          <cell r="B659" t="str">
            <v>535-440-100</v>
          </cell>
          <cell r="C659" t="str">
            <v>Expenditure</v>
          </cell>
          <cell r="D659" t="str">
            <v>TS - Const. - Gravel/Sand</v>
          </cell>
          <cell r="E659" t="str">
            <v>2022</v>
          </cell>
          <cell r="F659">
            <v>0</v>
          </cell>
          <cell r="G659">
            <v>0</v>
          </cell>
          <cell r="H659">
            <v>58531.5</v>
          </cell>
          <cell r="I659">
            <v>44926</v>
          </cell>
          <cell r="J659">
            <v>46752.14</v>
          </cell>
          <cell r="K659">
            <v>0</v>
          </cell>
        </row>
        <row r="660">
          <cell r="B660" t="str">
            <v>535-440-120</v>
          </cell>
          <cell r="C660" t="str">
            <v>Expenditure</v>
          </cell>
          <cell r="D660" t="str">
            <v>TS - Const. - Gravel/Sand - Hamlet</v>
          </cell>
          <cell r="E660" t="str">
            <v>2022</v>
          </cell>
          <cell r="F660">
            <v>0</v>
          </cell>
          <cell r="G660">
            <v>0</v>
          </cell>
          <cell r="H660">
            <v>0</v>
          </cell>
          <cell r="I660">
            <v>44926</v>
          </cell>
          <cell r="J660">
            <v>0</v>
          </cell>
          <cell r="K660">
            <v>0</v>
          </cell>
        </row>
        <row r="661">
          <cell r="B661" t="str">
            <v>535-450-100</v>
          </cell>
          <cell r="C661" t="str">
            <v>Expenditure</v>
          </cell>
          <cell r="D661" t="str">
            <v>TS - Const. - Culverts/Drainage</v>
          </cell>
          <cell r="E661" t="str">
            <v>2022</v>
          </cell>
          <cell r="F661">
            <v>0</v>
          </cell>
          <cell r="G661">
            <v>0</v>
          </cell>
          <cell r="H661">
            <v>0</v>
          </cell>
          <cell r="I661">
            <v>44926</v>
          </cell>
          <cell r="J661">
            <v>0</v>
          </cell>
          <cell r="K661">
            <v>0</v>
          </cell>
        </row>
        <row r="662">
          <cell r="B662" t="str">
            <v>535-460-100</v>
          </cell>
          <cell r="C662" t="str">
            <v>Expenditure</v>
          </cell>
          <cell r="D662" t="str">
            <v>TS - Const. - Asphalt/Surfacing Material</v>
          </cell>
          <cell r="E662" t="str">
            <v>2022</v>
          </cell>
          <cell r="F662">
            <v>39758.269999999997</v>
          </cell>
          <cell r="G662">
            <v>39758.269999999997</v>
          </cell>
          <cell r="H662">
            <v>47000.4</v>
          </cell>
          <cell r="I662">
            <v>44926</v>
          </cell>
          <cell r="J662">
            <v>24407.21</v>
          </cell>
          <cell r="K662">
            <v>64588.41</v>
          </cell>
        </row>
        <row r="663">
          <cell r="B663" t="str">
            <v>535-460-110</v>
          </cell>
          <cell r="C663" t="str">
            <v>Expenditure</v>
          </cell>
          <cell r="D663" t="str">
            <v>TS - Const. - Dust Control</v>
          </cell>
          <cell r="E663" t="str">
            <v>2022</v>
          </cell>
          <cell r="F663">
            <v>14133.25</v>
          </cell>
          <cell r="G663">
            <v>14133.25</v>
          </cell>
          <cell r="H663">
            <v>4186.41</v>
          </cell>
          <cell r="I663">
            <v>44926</v>
          </cell>
          <cell r="J663">
            <v>2673.25</v>
          </cell>
          <cell r="K663">
            <v>5385.33</v>
          </cell>
        </row>
        <row r="664">
          <cell r="B664" t="str">
            <v>535-480-100</v>
          </cell>
          <cell r="C664" t="str">
            <v>Expenditure</v>
          </cell>
          <cell r="D664" t="str">
            <v>TS - Const. - Traffic Signs/Signals/Mark</v>
          </cell>
          <cell r="E664" t="str">
            <v>2022</v>
          </cell>
          <cell r="F664">
            <v>712.8</v>
          </cell>
          <cell r="G664">
            <v>712.8</v>
          </cell>
          <cell r="H664">
            <v>4503.07</v>
          </cell>
          <cell r="I664">
            <v>44926</v>
          </cell>
          <cell r="J664">
            <v>3071.82</v>
          </cell>
          <cell r="K664">
            <v>3048.41</v>
          </cell>
        </row>
        <row r="665">
          <cell r="B665" t="str">
            <v>535-490-110</v>
          </cell>
          <cell r="C665" t="str">
            <v>Expenditure</v>
          </cell>
          <cell r="D665" t="str">
            <v>TS - Const. - Office Equipment Maint.</v>
          </cell>
          <cell r="E665" t="str">
            <v>2022</v>
          </cell>
          <cell r="F665">
            <v>0</v>
          </cell>
          <cell r="G665">
            <v>0</v>
          </cell>
          <cell r="H665">
            <v>1000</v>
          </cell>
          <cell r="I665">
            <v>44926</v>
          </cell>
          <cell r="J665">
            <v>1000</v>
          </cell>
          <cell r="K665">
            <v>1000</v>
          </cell>
        </row>
        <row r="666">
          <cell r="B666" t="str">
            <v>535-490-120</v>
          </cell>
          <cell r="C666" t="str">
            <v>Expenditure</v>
          </cell>
          <cell r="D666" t="str">
            <v>TS - Const. - PW Discretionary Fund</v>
          </cell>
          <cell r="E666" t="str">
            <v>2022</v>
          </cell>
          <cell r="F666">
            <v>0</v>
          </cell>
          <cell r="G666">
            <v>0</v>
          </cell>
          <cell r="H666">
            <v>1377.95</v>
          </cell>
          <cell r="I666">
            <v>44926</v>
          </cell>
          <cell r="J666">
            <v>4110.5200000000004</v>
          </cell>
          <cell r="K666">
            <v>2905.96</v>
          </cell>
        </row>
        <row r="667">
          <cell r="B667" t="str">
            <v>535-500-100</v>
          </cell>
          <cell r="C667" t="str">
            <v>Expenditure</v>
          </cell>
          <cell r="D667" t="str">
            <v>TS - CONST. - GRANTS AND CONTRIBUTIONS</v>
          </cell>
          <cell r="E667" t="str">
            <v>2022</v>
          </cell>
          <cell r="F667">
            <v>0</v>
          </cell>
          <cell r="G667">
            <v>0</v>
          </cell>
          <cell r="H667">
            <v>0</v>
          </cell>
          <cell r="I667">
            <v>44926</v>
          </cell>
          <cell r="J667">
            <v>0</v>
          </cell>
          <cell r="K667">
            <v>0</v>
          </cell>
        </row>
        <row r="668">
          <cell r="B668" t="str">
            <v>535-500-110</v>
          </cell>
          <cell r="C668" t="str">
            <v>Expenditure</v>
          </cell>
          <cell r="D668" t="str">
            <v>TS - Const. - Grants and Contributions</v>
          </cell>
          <cell r="E668" t="str">
            <v>2022</v>
          </cell>
          <cell r="F668">
            <v>0</v>
          </cell>
          <cell r="G668">
            <v>0</v>
          </cell>
          <cell r="H668">
            <v>0</v>
          </cell>
          <cell r="I668">
            <v>44926</v>
          </cell>
          <cell r="J668">
            <v>0</v>
          </cell>
          <cell r="K668">
            <v>0</v>
          </cell>
        </row>
        <row r="669">
          <cell r="B669" t="str">
            <v>535-600-100</v>
          </cell>
          <cell r="C669" t="str">
            <v>Expenditure</v>
          </cell>
          <cell r="D669" t="str">
            <v>TS - CONST. - CAPITAL EXPENDITURES</v>
          </cell>
          <cell r="E669" t="str">
            <v>2022</v>
          </cell>
          <cell r="F669">
            <v>0</v>
          </cell>
          <cell r="G669">
            <v>0</v>
          </cell>
          <cell r="H669">
            <v>0</v>
          </cell>
          <cell r="I669">
            <v>44926</v>
          </cell>
          <cell r="J669">
            <v>0</v>
          </cell>
          <cell r="K669">
            <v>0</v>
          </cell>
        </row>
        <row r="670">
          <cell r="B670" t="str">
            <v>535-600-110</v>
          </cell>
          <cell r="C670" t="str">
            <v>Expenditure</v>
          </cell>
          <cell r="D670" t="str">
            <v>TS - Const. - Pur of Cap Assets - Land</v>
          </cell>
          <cell r="E670" t="str">
            <v>2022</v>
          </cell>
          <cell r="F670">
            <v>0</v>
          </cell>
          <cell r="G670">
            <v>0</v>
          </cell>
          <cell r="H670">
            <v>0</v>
          </cell>
          <cell r="I670">
            <v>44926</v>
          </cell>
          <cell r="J670">
            <v>0</v>
          </cell>
          <cell r="K670">
            <v>0</v>
          </cell>
        </row>
        <row r="671">
          <cell r="B671" t="str">
            <v>535-600-120</v>
          </cell>
          <cell r="C671" t="str">
            <v>Expenditure</v>
          </cell>
          <cell r="D671" t="str">
            <v>TS - Const. - Pur of Cap Assets</v>
          </cell>
          <cell r="E671" t="str">
            <v>2022</v>
          </cell>
          <cell r="F671">
            <v>0</v>
          </cell>
          <cell r="G671">
            <v>0</v>
          </cell>
          <cell r="H671">
            <v>0</v>
          </cell>
          <cell r="I671">
            <v>44926</v>
          </cell>
          <cell r="J671">
            <v>0</v>
          </cell>
          <cell r="K671">
            <v>0</v>
          </cell>
        </row>
        <row r="672">
          <cell r="B672" t="str">
            <v>535-600-125</v>
          </cell>
          <cell r="C672" t="str">
            <v>Expenditure</v>
          </cell>
          <cell r="D672" t="str">
            <v>TS - Const. - Purchase of Cap Asset</v>
          </cell>
          <cell r="E672" t="str">
            <v>2022</v>
          </cell>
          <cell r="F672">
            <v>395951.08</v>
          </cell>
          <cell r="G672">
            <v>395951.08</v>
          </cell>
          <cell r="H672">
            <v>0</v>
          </cell>
          <cell r="I672">
            <v>44926</v>
          </cell>
        </row>
        <row r="673">
          <cell r="B673" t="str">
            <v>535-600-130</v>
          </cell>
          <cell r="C673" t="str">
            <v>Expenditure</v>
          </cell>
          <cell r="D673" t="str">
            <v>TS - Const. - Pur of Cap Assets - Machin</v>
          </cell>
          <cell r="E673" t="str">
            <v>2022</v>
          </cell>
          <cell r="F673">
            <v>0</v>
          </cell>
          <cell r="G673">
            <v>0</v>
          </cell>
          <cell r="H673">
            <v>0</v>
          </cell>
          <cell r="I673">
            <v>44926</v>
          </cell>
          <cell r="J673">
            <v>0</v>
          </cell>
          <cell r="K673">
            <v>0</v>
          </cell>
        </row>
        <row r="674">
          <cell r="B674" t="str">
            <v>535-600-140</v>
          </cell>
          <cell r="C674" t="str">
            <v>Expenditure</v>
          </cell>
          <cell r="D674" t="str">
            <v>TS - Const. - Pur of Cap Assets - Equip</v>
          </cell>
          <cell r="E674" t="str">
            <v>2022</v>
          </cell>
          <cell r="F674">
            <v>12720</v>
          </cell>
          <cell r="G674">
            <v>12720</v>
          </cell>
          <cell r="H674">
            <v>0</v>
          </cell>
          <cell r="I674">
            <v>44926</v>
          </cell>
          <cell r="J674">
            <v>0</v>
          </cell>
          <cell r="K674">
            <v>0</v>
          </cell>
        </row>
        <row r="675">
          <cell r="B675" t="str">
            <v>535-600-699</v>
          </cell>
          <cell r="C675" t="str">
            <v>Expenditure</v>
          </cell>
          <cell r="D675" t="str">
            <v>TS - Const. - Amortization Expense</v>
          </cell>
          <cell r="E675" t="str">
            <v>2022</v>
          </cell>
          <cell r="F675">
            <v>0</v>
          </cell>
          <cell r="G675">
            <v>0</v>
          </cell>
          <cell r="H675">
            <v>75313.13</v>
          </cell>
          <cell r="I675">
            <v>44926</v>
          </cell>
          <cell r="J675">
            <v>70211.62</v>
          </cell>
          <cell r="K675">
            <v>38870</v>
          </cell>
        </row>
        <row r="676">
          <cell r="B676" t="str">
            <v>535-700-100</v>
          </cell>
          <cell r="C676" t="str">
            <v>Expenditure</v>
          </cell>
          <cell r="D676" t="str">
            <v>TS - CONST. - INTEREST</v>
          </cell>
          <cell r="E676" t="str">
            <v>2022</v>
          </cell>
          <cell r="F676">
            <v>0</v>
          </cell>
          <cell r="G676">
            <v>0</v>
          </cell>
          <cell r="H676">
            <v>0</v>
          </cell>
          <cell r="I676">
            <v>44926</v>
          </cell>
          <cell r="J676">
            <v>0</v>
          </cell>
          <cell r="K676">
            <v>0</v>
          </cell>
        </row>
        <row r="677">
          <cell r="B677" t="str">
            <v>535-700-110</v>
          </cell>
          <cell r="C677" t="str">
            <v>Expenditure</v>
          </cell>
          <cell r="D677" t="str">
            <v>TS - Const. - Interest</v>
          </cell>
          <cell r="E677" t="str">
            <v>2022</v>
          </cell>
          <cell r="F677">
            <v>0</v>
          </cell>
          <cell r="G677">
            <v>0</v>
          </cell>
          <cell r="H677">
            <v>0</v>
          </cell>
          <cell r="I677">
            <v>44926</v>
          </cell>
          <cell r="J677">
            <v>0</v>
          </cell>
          <cell r="K677">
            <v>4926.34</v>
          </cell>
        </row>
        <row r="678">
          <cell r="B678" t="str">
            <v>535-800-100</v>
          </cell>
          <cell r="C678" t="str">
            <v>Expenditure</v>
          </cell>
          <cell r="D678" t="str">
            <v>TS - CONST-ALLOWANCE FOR UNCOLLECTIBLES</v>
          </cell>
          <cell r="E678" t="str">
            <v>2022</v>
          </cell>
          <cell r="F678">
            <v>0</v>
          </cell>
          <cell r="G678">
            <v>0</v>
          </cell>
          <cell r="H678">
            <v>0</v>
          </cell>
          <cell r="I678">
            <v>44926</v>
          </cell>
          <cell r="J678">
            <v>0</v>
          </cell>
          <cell r="K678">
            <v>0</v>
          </cell>
        </row>
        <row r="679">
          <cell r="B679" t="str">
            <v>535-800-110</v>
          </cell>
          <cell r="C679" t="str">
            <v>Expenditure</v>
          </cell>
          <cell r="D679" t="str">
            <v>TS - Const.-Allowance for Uncollectibles</v>
          </cell>
          <cell r="E679" t="str">
            <v>2022</v>
          </cell>
          <cell r="F679">
            <v>0</v>
          </cell>
          <cell r="G679">
            <v>0</v>
          </cell>
          <cell r="H679">
            <v>0</v>
          </cell>
          <cell r="I679">
            <v>44926</v>
          </cell>
          <cell r="J679">
            <v>0</v>
          </cell>
          <cell r="K679">
            <v>0</v>
          </cell>
        </row>
        <row r="680">
          <cell r="B680" t="str">
            <v>535-900-100</v>
          </cell>
          <cell r="C680" t="str">
            <v>Expenditure</v>
          </cell>
          <cell r="D680" t="str">
            <v>TS - CONST. - OTHER</v>
          </cell>
          <cell r="E680" t="str">
            <v>2022</v>
          </cell>
          <cell r="F680">
            <v>0</v>
          </cell>
          <cell r="G680">
            <v>0</v>
          </cell>
          <cell r="H680">
            <v>0</v>
          </cell>
          <cell r="I680">
            <v>44926</v>
          </cell>
          <cell r="J680">
            <v>0</v>
          </cell>
          <cell r="K680">
            <v>0</v>
          </cell>
        </row>
        <row r="681">
          <cell r="B681" t="str">
            <v>540-100-050</v>
          </cell>
          <cell r="C681" t="str">
            <v>Expenditure</v>
          </cell>
          <cell r="D681" t="str">
            <v>ENVIRONMENT HEALTH SERVICES</v>
          </cell>
          <cell r="E681" t="str">
            <v>2022</v>
          </cell>
          <cell r="F681">
            <v>0</v>
          </cell>
          <cell r="G681">
            <v>0</v>
          </cell>
          <cell r="H681">
            <v>0</v>
          </cell>
          <cell r="I681">
            <v>44926</v>
          </cell>
          <cell r="J681">
            <v>0</v>
          </cell>
          <cell r="K681">
            <v>0</v>
          </cell>
        </row>
        <row r="682">
          <cell r="B682" t="str">
            <v>540-110-070</v>
          </cell>
          <cell r="C682" t="str">
            <v>Expenditure</v>
          </cell>
          <cell r="D682" t="str">
            <v>EH - WAGES &amp; BENEFITS</v>
          </cell>
          <cell r="E682" t="str">
            <v>2022</v>
          </cell>
          <cell r="F682">
            <v>0</v>
          </cell>
          <cell r="G682">
            <v>0</v>
          </cell>
          <cell r="H682">
            <v>0</v>
          </cell>
          <cell r="I682">
            <v>44926</v>
          </cell>
          <cell r="J682">
            <v>0</v>
          </cell>
          <cell r="K682">
            <v>0</v>
          </cell>
        </row>
        <row r="683">
          <cell r="B683" t="str">
            <v>540-110-110</v>
          </cell>
          <cell r="C683" t="str">
            <v>Expenditure</v>
          </cell>
          <cell r="D683" t="str">
            <v>EH - Salaries</v>
          </cell>
          <cell r="E683" t="str">
            <v>2022</v>
          </cell>
          <cell r="F683">
            <v>3130.08</v>
          </cell>
          <cell r="G683">
            <v>3130.08</v>
          </cell>
          <cell r="H683">
            <v>5407.7</v>
          </cell>
          <cell r="I683">
            <v>44926</v>
          </cell>
        </row>
        <row r="684">
          <cell r="B684" t="str">
            <v>540-120-110</v>
          </cell>
          <cell r="C684" t="str">
            <v>Expenditure</v>
          </cell>
          <cell r="D684" t="str">
            <v>EH - Benefits</v>
          </cell>
          <cell r="E684" t="str">
            <v>2022</v>
          </cell>
          <cell r="F684">
            <v>509.43</v>
          </cell>
          <cell r="G684">
            <v>509.43</v>
          </cell>
          <cell r="H684">
            <v>1154.5</v>
          </cell>
          <cell r="I684">
            <v>44926</v>
          </cell>
          <cell r="J684">
            <v>1240.97</v>
          </cell>
          <cell r="K684">
            <v>1223.5999999999999</v>
          </cell>
        </row>
        <row r="685">
          <cell r="B685" t="str">
            <v>540-200-100</v>
          </cell>
          <cell r="C685" t="str">
            <v>Expenditure</v>
          </cell>
          <cell r="D685" t="str">
            <v>EH - PROF/CONTRACT SERVICES</v>
          </cell>
          <cell r="E685" t="str">
            <v>2022</v>
          </cell>
          <cell r="F685">
            <v>0</v>
          </cell>
          <cell r="G685">
            <v>0</v>
          </cell>
          <cell r="H685">
            <v>0</v>
          </cell>
          <cell r="I685">
            <v>44926</v>
          </cell>
          <cell r="J685">
            <v>0</v>
          </cell>
          <cell r="K685">
            <v>0</v>
          </cell>
        </row>
        <row r="686">
          <cell r="B686" t="str">
            <v>540-200-110</v>
          </cell>
          <cell r="C686" t="str">
            <v>Expenditure</v>
          </cell>
          <cell r="D686" t="str">
            <v>EH - Cont. - Waste Collection/Disposal</v>
          </cell>
          <cell r="E686" t="str">
            <v>2022</v>
          </cell>
          <cell r="F686">
            <v>32656.57</v>
          </cell>
          <cell r="G686">
            <v>32656.57</v>
          </cell>
          <cell r="H686">
            <v>139283.96</v>
          </cell>
          <cell r="I686">
            <v>44926</v>
          </cell>
          <cell r="J686">
            <v>130236.2</v>
          </cell>
          <cell r="K686">
            <v>122483.62</v>
          </cell>
        </row>
        <row r="687">
          <cell r="B687" t="str">
            <v>540-200-120</v>
          </cell>
          <cell r="C687" t="str">
            <v>Expenditure</v>
          </cell>
          <cell r="D687" t="str">
            <v>EH - Recycle Collection/Disposal</v>
          </cell>
          <cell r="E687" t="str">
            <v>2022</v>
          </cell>
          <cell r="F687">
            <v>24995.65</v>
          </cell>
          <cell r="G687">
            <v>24995.65</v>
          </cell>
          <cell r="H687">
            <v>46751.58</v>
          </cell>
          <cell r="I687">
            <v>44926</v>
          </cell>
          <cell r="J687">
            <v>43246.47</v>
          </cell>
          <cell r="K687">
            <v>39900.85</v>
          </cell>
        </row>
        <row r="688">
          <cell r="B688" t="str">
            <v>540-210-300</v>
          </cell>
          <cell r="C688" t="str">
            <v>Expenditure</v>
          </cell>
          <cell r="D688" t="str">
            <v>EH - Cont. - Advert &amp; Promo - Gar/Rec</v>
          </cell>
          <cell r="E688" t="str">
            <v>2022</v>
          </cell>
          <cell r="F688">
            <v>0</v>
          </cell>
          <cell r="G688">
            <v>0</v>
          </cell>
          <cell r="H688">
            <v>0</v>
          </cell>
          <cell r="I688">
            <v>44926</v>
          </cell>
          <cell r="J688">
            <v>1000</v>
          </cell>
          <cell r="K688">
            <v>71.34</v>
          </cell>
        </row>
        <row r="689">
          <cell r="B689" t="str">
            <v>540-400-100</v>
          </cell>
          <cell r="C689" t="str">
            <v>Expenditure</v>
          </cell>
          <cell r="D689" t="str">
            <v>EH - MAINT. MATERIAL AND SUPPLIES</v>
          </cell>
          <cell r="E689" t="str">
            <v>2022</v>
          </cell>
          <cell r="F689">
            <v>0</v>
          </cell>
          <cell r="G689">
            <v>0</v>
          </cell>
          <cell r="H689">
            <v>0</v>
          </cell>
          <cell r="I689">
            <v>44926</v>
          </cell>
          <cell r="J689">
            <v>0</v>
          </cell>
          <cell r="K689">
            <v>0</v>
          </cell>
        </row>
        <row r="690">
          <cell r="B690" t="str">
            <v>540-410-100</v>
          </cell>
          <cell r="C690" t="str">
            <v>Expenditure</v>
          </cell>
          <cell r="D690" t="str">
            <v>EH - Maint. - Small Tools &amp; Equipment</v>
          </cell>
          <cell r="E690" t="str">
            <v>2022</v>
          </cell>
          <cell r="F690">
            <v>253.34</v>
          </cell>
          <cell r="G690">
            <v>253.34</v>
          </cell>
          <cell r="H690">
            <v>616.91999999999996</v>
          </cell>
          <cell r="I690">
            <v>44926</v>
          </cell>
          <cell r="J690">
            <v>45.42</v>
          </cell>
          <cell r="K690">
            <v>2.11</v>
          </cell>
        </row>
        <row r="691">
          <cell r="B691" t="str">
            <v>540-600-699</v>
          </cell>
          <cell r="C691" t="str">
            <v>Expenditure</v>
          </cell>
          <cell r="D691" t="str">
            <v>EPH - Amortization</v>
          </cell>
          <cell r="E691" t="str">
            <v>2022</v>
          </cell>
          <cell r="F691">
            <v>0</v>
          </cell>
          <cell r="G691">
            <v>0</v>
          </cell>
          <cell r="H691">
            <v>139.46</v>
          </cell>
          <cell r="I691">
            <v>44926</v>
          </cell>
        </row>
        <row r="692">
          <cell r="B692" t="str">
            <v>550-100-050</v>
          </cell>
          <cell r="C692" t="str">
            <v>Expenditure</v>
          </cell>
          <cell r="D692" t="str">
            <v>PUBLIC HEALTH AND WELFARE SERVICES</v>
          </cell>
          <cell r="E692" t="str">
            <v>2022</v>
          </cell>
          <cell r="F692">
            <v>0</v>
          </cell>
          <cell r="G692">
            <v>0</v>
          </cell>
          <cell r="H692">
            <v>0</v>
          </cell>
          <cell r="I692">
            <v>44926</v>
          </cell>
          <cell r="J692">
            <v>0</v>
          </cell>
          <cell r="K692">
            <v>0</v>
          </cell>
        </row>
        <row r="693">
          <cell r="B693" t="str">
            <v>550-110-100</v>
          </cell>
          <cell r="C693" t="str">
            <v>Expenditure</v>
          </cell>
          <cell r="D693" t="str">
            <v>H&amp;W - WAGES &amp; BENEFITS</v>
          </cell>
          <cell r="E693" t="str">
            <v>2022</v>
          </cell>
          <cell r="F693">
            <v>0</v>
          </cell>
          <cell r="G693">
            <v>0</v>
          </cell>
          <cell r="H693">
            <v>0</v>
          </cell>
          <cell r="I693">
            <v>44926</v>
          </cell>
          <cell r="J693">
            <v>0</v>
          </cell>
          <cell r="K693">
            <v>0</v>
          </cell>
        </row>
        <row r="694">
          <cell r="B694" t="str">
            <v>550-110-110</v>
          </cell>
          <cell r="C694" t="str">
            <v>Expenditure</v>
          </cell>
          <cell r="D694" t="str">
            <v>H&amp;W - Salaries - Cemetery</v>
          </cell>
          <cell r="E694" t="str">
            <v>2022</v>
          </cell>
          <cell r="F694">
            <v>9098.52</v>
          </cell>
          <cell r="G694">
            <v>9098.52</v>
          </cell>
          <cell r="H694">
            <v>12386.32</v>
          </cell>
          <cell r="I694">
            <v>44926</v>
          </cell>
          <cell r="J694">
            <v>7910.02</v>
          </cell>
          <cell r="K694">
            <v>8088.16</v>
          </cell>
        </row>
        <row r="695">
          <cell r="B695" t="str">
            <v>550-120-110</v>
          </cell>
          <cell r="C695" t="str">
            <v>Expenditure</v>
          </cell>
          <cell r="D695" t="str">
            <v>H&amp;W - Benefits - Cemetery</v>
          </cell>
          <cell r="E695" t="str">
            <v>2022</v>
          </cell>
          <cell r="F695">
            <v>1422.52</v>
          </cell>
          <cell r="G695">
            <v>1422.52</v>
          </cell>
          <cell r="H695">
            <v>3220.44</v>
          </cell>
          <cell r="I695">
            <v>44926</v>
          </cell>
          <cell r="J695">
            <v>2166.4</v>
          </cell>
          <cell r="K695">
            <v>1637.51</v>
          </cell>
        </row>
        <row r="696">
          <cell r="B696" t="str">
            <v>550-200-100</v>
          </cell>
          <cell r="C696" t="str">
            <v>Expenditure</v>
          </cell>
          <cell r="D696" t="str">
            <v>H&amp;W - PROF/CONTRACT SERVICES</v>
          </cell>
          <cell r="E696" t="str">
            <v>2022</v>
          </cell>
          <cell r="F696">
            <v>0</v>
          </cell>
          <cell r="G696">
            <v>0</v>
          </cell>
          <cell r="H696">
            <v>0</v>
          </cell>
          <cell r="I696">
            <v>44926</v>
          </cell>
          <cell r="J696">
            <v>0</v>
          </cell>
          <cell r="K696">
            <v>0</v>
          </cell>
        </row>
        <row r="697">
          <cell r="B697" t="str">
            <v>550-200-110</v>
          </cell>
          <cell r="C697" t="str">
            <v>Expenditure</v>
          </cell>
          <cell r="D697" t="str">
            <v>H&amp;W - Cont. - Cemetery Maint.</v>
          </cell>
          <cell r="E697" t="str">
            <v>2022</v>
          </cell>
          <cell r="F697">
            <v>623.54</v>
          </cell>
          <cell r="G697">
            <v>623.54</v>
          </cell>
          <cell r="H697">
            <v>2946.74</v>
          </cell>
          <cell r="I697">
            <v>44926</v>
          </cell>
          <cell r="J697">
            <v>2568.29</v>
          </cell>
          <cell r="K697">
            <v>11202</v>
          </cell>
        </row>
        <row r="698">
          <cell r="B698" t="str">
            <v>550-500-100</v>
          </cell>
          <cell r="C698" t="str">
            <v>Expenditure</v>
          </cell>
          <cell r="D698" t="str">
            <v>H&amp;W - GRANTS AND CONTRIBUTIONS</v>
          </cell>
          <cell r="E698" t="str">
            <v>2022</v>
          </cell>
          <cell r="F698">
            <v>0</v>
          </cell>
          <cell r="G698">
            <v>0</v>
          </cell>
          <cell r="H698">
            <v>0</v>
          </cell>
          <cell r="I698">
            <v>44926</v>
          </cell>
          <cell r="J698">
            <v>0</v>
          </cell>
          <cell r="K698">
            <v>0</v>
          </cell>
        </row>
        <row r="699">
          <cell r="B699" t="str">
            <v>550-540-100</v>
          </cell>
          <cell r="C699" t="str">
            <v>Expenditure</v>
          </cell>
          <cell r="D699" t="str">
            <v>H&amp;W - Housing Authority Deficits</v>
          </cell>
          <cell r="E699" t="str">
            <v>2022</v>
          </cell>
          <cell r="F699">
            <v>0</v>
          </cell>
          <cell r="G699">
            <v>0</v>
          </cell>
          <cell r="H699">
            <v>13201.08</v>
          </cell>
          <cell r="I699">
            <v>44926</v>
          </cell>
          <cell r="J699">
            <v>2229.62</v>
          </cell>
          <cell r="K699">
            <v>0</v>
          </cell>
        </row>
        <row r="700">
          <cell r="B700" t="str">
            <v>550-600-699</v>
          </cell>
          <cell r="C700" t="str">
            <v>Expenditure</v>
          </cell>
          <cell r="D700" t="str">
            <v>EH - Amortization</v>
          </cell>
          <cell r="E700" t="str">
            <v>2022</v>
          </cell>
          <cell r="F700">
            <v>0</v>
          </cell>
          <cell r="G700">
            <v>0</v>
          </cell>
          <cell r="H700">
            <v>0</v>
          </cell>
          <cell r="I700">
            <v>44926</v>
          </cell>
          <cell r="J700">
            <v>34.869999999999997</v>
          </cell>
        </row>
        <row r="701">
          <cell r="B701" t="str">
            <v>560-100-050</v>
          </cell>
          <cell r="C701" t="str">
            <v>Expenditure</v>
          </cell>
          <cell r="D701" t="str">
            <v>PLANNING AND DEVELOPMENT SERVICES</v>
          </cell>
          <cell r="E701" t="str">
            <v>2022</v>
          </cell>
          <cell r="F701">
            <v>0</v>
          </cell>
          <cell r="G701">
            <v>0</v>
          </cell>
          <cell r="H701">
            <v>0</v>
          </cell>
          <cell r="I701">
            <v>44926</v>
          </cell>
          <cell r="J701">
            <v>0</v>
          </cell>
          <cell r="K701">
            <v>0</v>
          </cell>
        </row>
        <row r="702">
          <cell r="B702" t="str">
            <v>560-110-100</v>
          </cell>
          <cell r="C702" t="str">
            <v>Expenditure</v>
          </cell>
          <cell r="D702" t="str">
            <v>P&amp;D - WAGES &amp; BENEFITS</v>
          </cell>
          <cell r="E702" t="str">
            <v>2022</v>
          </cell>
          <cell r="F702">
            <v>0</v>
          </cell>
          <cell r="G702">
            <v>0</v>
          </cell>
          <cell r="H702">
            <v>0</v>
          </cell>
          <cell r="I702">
            <v>44926</v>
          </cell>
          <cell r="J702">
            <v>0</v>
          </cell>
          <cell r="K702">
            <v>0</v>
          </cell>
        </row>
        <row r="703">
          <cell r="B703" t="str">
            <v>560-110-110</v>
          </cell>
          <cell r="C703" t="str">
            <v>Expenditure</v>
          </cell>
          <cell r="D703" t="str">
            <v>P&amp;D - Salaries</v>
          </cell>
          <cell r="E703" t="str">
            <v>2022</v>
          </cell>
          <cell r="F703">
            <v>0</v>
          </cell>
          <cell r="G703">
            <v>0</v>
          </cell>
          <cell r="H703">
            <v>0</v>
          </cell>
          <cell r="I703">
            <v>44926</v>
          </cell>
          <cell r="J703">
            <v>0</v>
          </cell>
          <cell r="K703">
            <v>0</v>
          </cell>
        </row>
        <row r="704">
          <cell r="B704" t="str">
            <v>560-120-110</v>
          </cell>
          <cell r="C704" t="str">
            <v>Expenditure</v>
          </cell>
          <cell r="D704" t="str">
            <v>P&amp;D - Benefits</v>
          </cell>
          <cell r="E704" t="str">
            <v>2022</v>
          </cell>
          <cell r="F704">
            <v>0</v>
          </cell>
          <cell r="G704">
            <v>0</v>
          </cell>
          <cell r="H704">
            <v>0</v>
          </cell>
          <cell r="I704">
            <v>44926</v>
          </cell>
          <cell r="J704">
            <v>0</v>
          </cell>
          <cell r="K704">
            <v>0</v>
          </cell>
        </row>
        <row r="705">
          <cell r="B705" t="str">
            <v>560-200-100</v>
          </cell>
          <cell r="C705" t="str">
            <v>Expenditure</v>
          </cell>
          <cell r="D705" t="str">
            <v>P&amp;D - PROF/CONTRACT SERVICES</v>
          </cell>
          <cell r="E705" t="str">
            <v>2022</v>
          </cell>
          <cell r="F705">
            <v>0</v>
          </cell>
          <cell r="G705">
            <v>0</v>
          </cell>
          <cell r="H705">
            <v>0</v>
          </cell>
          <cell r="I705">
            <v>44926</v>
          </cell>
          <cell r="J705">
            <v>0</v>
          </cell>
          <cell r="K705">
            <v>0</v>
          </cell>
        </row>
        <row r="706">
          <cell r="B706" t="str">
            <v>560-200-110</v>
          </cell>
          <cell r="C706" t="str">
            <v>Expenditure</v>
          </cell>
          <cell r="D706" t="str">
            <v>P&amp;D - Cont. - Other Services</v>
          </cell>
          <cell r="E706" t="str">
            <v>2022</v>
          </cell>
          <cell r="F706">
            <v>800</v>
          </cell>
          <cell r="G706">
            <v>800</v>
          </cell>
          <cell r="H706">
            <v>800</v>
          </cell>
          <cell r="I706">
            <v>44926</v>
          </cell>
          <cell r="J706">
            <v>800</v>
          </cell>
          <cell r="K706">
            <v>800</v>
          </cell>
        </row>
        <row r="707">
          <cell r="B707" t="str">
            <v>560-200-130</v>
          </cell>
          <cell r="C707" t="str">
            <v>Expenditure</v>
          </cell>
          <cell r="D707" t="str">
            <v>P&amp;D - Cont. - Professional Services</v>
          </cell>
          <cell r="E707" t="str">
            <v>2022</v>
          </cell>
          <cell r="F707">
            <v>9500</v>
          </cell>
          <cell r="G707">
            <v>9500</v>
          </cell>
          <cell r="H707">
            <v>-36.799999999999997</v>
          </cell>
          <cell r="I707">
            <v>44926</v>
          </cell>
          <cell r="J707">
            <v>13210.75</v>
          </cell>
          <cell r="K707">
            <v>6555.86</v>
          </cell>
        </row>
        <row r="708">
          <cell r="B708" t="str">
            <v>560-200-140</v>
          </cell>
          <cell r="C708" t="str">
            <v>Expenditure</v>
          </cell>
          <cell r="D708" t="str">
            <v>P&amp;D - Cont. - Land Development</v>
          </cell>
          <cell r="E708" t="str">
            <v>2022</v>
          </cell>
          <cell r="F708">
            <v>5682.05</v>
          </cell>
          <cell r="G708">
            <v>5682.05</v>
          </cell>
          <cell r="H708">
            <v>0</v>
          </cell>
          <cell r="I708">
            <v>44926</v>
          </cell>
          <cell r="J708">
            <v>4637.17</v>
          </cell>
          <cell r="K708">
            <v>5757.38</v>
          </cell>
        </row>
        <row r="709">
          <cell r="B709" t="str">
            <v>560-210-100</v>
          </cell>
          <cell r="C709" t="str">
            <v>Expenditure</v>
          </cell>
          <cell r="D709" t="str">
            <v>P&amp;D - Cont. - Advertising &amp; Promotions</v>
          </cell>
          <cell r="E709" t="str">
            <v>2022</v>
          </cell>
          <cell r="F709">
            <v>2284.56</v>
          </cell>
          <cell r="G709">
            <v>2284.56</v>
          </cell>
          <cell r="H709">
            <v>0</v>
          </cell>
          <cell r="I709">
            <v>44926</v>
          </cell>
          <cell r="J709">
            <v>3782.2</v>
          </cell>
          <cell r="K709">
            <v>6281.13</v>
          </cell>
        </row>
        <row r="710">
          <cell r="B710" t="str">
            <v>560-210-200</v>
          </cell>
          <cell r="C710" t="str">
            <v>Expenditure</v>
          </cell>
          <cell r="D710" t="str">
            <v>P&amp;D - Advertising &amp; Promo - Ec Dev</v>
          </cell>
          <cell r="E710" t="str">
            <v>2022</v>
          </cell>
          <cell r="F710">
            <v>330.55</v>
          </cell>
          <cell r="G710">
            <v>330.55</v>
          </cell>
          <cell r="H710">
            <v>3395.39</v>
          </cell>
          <cell r="I710">
            <v>44926</v>
          </cell>
          <cell r="J710">
            <v>0</v>
          </cell>
        </row>
        <row r="711">
          <cell r="B711" t="str">
            <v>560-300-100</v>
          </cell>
          <cell r="C711" t="str">
            <v>Expenditure</v>
          </cell>
          <cell r="D711" t="str">
            <v>P&amp;D - UTILITIES</v>
          </cell>
          <cell r="E711" t="str">
            <v>2022</v>
          </cell>
          <cell r="F711">
            <v>0</v>
          </cell>
          <cell r="G711">
            <v>0</v>
          </cell>
          <cell r="H711">
            <v>0</v>
          </cell>
          <cell r="I711">
            <v>44926</v>
          </cell>
          <cell r="J711">
            <v>0</v>
          </cell>
          <cell r="K711">
            <v>0</v>
          </cell>
        </row>
        <row r="712">
          <cell r="B712" t="str">
            <v>560-300-110</v>
          </cell>
          <cell r="C712" t="str">
            <v>Expenditure</v>
          </cell>
          <cell r="D712" t="str">
            <v>P&amp;D - Utility - Heat</v>
          </cell>
          <cell r="E712" t="str">
            <v>2022</v>
          </cell>
          <cell r="F712">
            <v>0</v>
          </cell>
          <cell r="G712">
            <v>0</v>
          </cell>
          <cell r="H712">
            <v>0</v>
          </cell>
          <cell r="I712">
            <v>44926</v>
          </cell>
          <cell r="J712">
            <v>0</v>
          </cell>
          <cell r="K712">
            <v>0</v>
          </cell>
        </row>
        <row r="713">
          <cell r="B713" t="str">
            <v>560-300-120</v>
          </cell>
          <cell r="C713" t="str">
            <v>Expenditure</v>
          </cell>
          <cell r="D713" t="str">
            <v>P&amp;D - Utility - Power</v>
          </cell>
          <cell r="E713" t="str">
            <v>2022</v>
          </cell>
          <cell r="F713">
            <v>149.80000000000001</v>
          </cell>
          <cell r="G713">
            <v>149.80000000000001</v>
          </cell>
          <cell r="H713">
            <v>279.45</v>
          </cell>
          <cell r="I713">
            <v>44926</v>
          </cell>
          <cell r="J713">
            <v>254.47</v>
          </cell>
          <cell r="K713">
            <v>503.24</v>
          </cell>
        </row>
        <row r="714">
          <cell r="B714" t="str">
            <v>560-300-130</v>
          </cell>
          <cell r="C714" t="str">
            <v>Expenditure</v>
          </cell>
          <cell r="D714" t="str">
            <v>P&amp;D - Utility - Water</v>
          </cell>
          <cell r="E714" t="str">
            <v>2022</v>
          </cell>
          <cell r="F714">
            <v>0</v>
          </cell>
          <cell r="G714">
            <v>0</v>
          </cell>
          <cell r="H714">
            <v>0</v>
          </cell>
          <cell r="I714">
            <v>44926</v>
          </cell>
          <cell r="J714">
            <v>0</v>
          </cell>
          <cell r="K714">
            <v>0</v>
          </cell>
        </row>
        <row r="715">
          <cell r="B715" t="str">
            <v>560-300-140</v>
          </cell>
          <cell r="C715" t="str">
            <v>Expenditure</v>
          </cell>
          <cell r="D715" t="str">
            <v>P&amp;D - Utility - Telephone</v>
          </cell>
          <cell r="E715" t="str">
            <v>2022</v>
          </cell>
          <cell r="F715">
            <v>0</v>
          </cell>
          <cell r="G715">
            <v>0</v>
          </cell>
          <cell r="H715">
            <v>0</v>
          </cell>
          <cell r="I715">
            <v>44926</v>
          </cell>
          <cell r="J715">
            <v>0</v>
          </cell>
          <cell r="K715">
            <v>0</v>
          </cell>
        </row>
        <row r="716">
          <cell r="B716" t="str">
            <v>560-300-150</v>
          </cell>
          <cell r="C716" t="str">
            <v>Expenditure</v>
          </cell>
          <cell r="D716" t="str">
            <v>P&amp;D - Utility - Other</v>
          </cell>
          <cell r="E716" t="str">
            <v>2022</v>
          </cell>
          <cell r="F716">
            <v>0</v>
          </cell>
          <cell r="G716">
            <v>0</v>
          </cell>
          <cell r="H716">
            <v>0</v>
          </cell>
          <cell r="I716">
            <v>44926</v>
          </cell>
          <cell r="J716">
            <v>0</v>
          </cell>
          <cell r="K716">
            <v>0</v>
          </cell>
        </row>
        <row r="717">
          <cell r="B717" t="str">
            <v>560-400-100</v>
          </cell>
          <cell r="C717" t="str">
            <v>Expenditure</v>
          </cell>
          <cell r="D717" t="str">
            <v>P&amp;D - MAINT. MATERIAL AND SUPPLIES</v>
          </cell>
          <cell r="E717" t="str">
            <v>2022</v>
          </cell>
          <cell r="F717">
            <v>0</v>
          </cell>
          <cell r="G717">
            <v>0</v>
          </cell>
          <cell r="H717">
            <v>0</v>
          </cell>
          <cell r="I717">
            <v>44926</v>
          </cell>
          <cell r="J717">
            <v>0</v>
          </cell>
          <cell r="K717">
            <v>0</v>
          </cell>
        </row>
        <row r="718">
          <cell r="B718" t="str">
            <v>560-400-110</v>
          </cell>
          <cell r="C718" t="str">
            <v>Expenditure</v>
          </cell>
          <cell r="D718" t="str">
            <v>P&amp;D - Building Maint. Materials &amp; Suppli</v>
          </cell>
          <cell r="E718" t="str">
            <v>2022</v>
          </cell>
          <cell r="F718">
            <v>0</v>
          </cell>
          <cell r="G718">
            <v>0</v>
          </cell>
          <cell r="H718">
            <v>0</v>
          </cell>
          <cell r="I718">
            <v>44926</v>
          </cell>
          <cell r="J718">
            <v>0</v>
          </cell>
          <cell r="K718">
            <v>0</v>
          </cell>
        </row>
        <row r="719">
          <cell r="B719" t="str">
            <v>560-400-130</v>
          </cell>
          <cell r="C719" t="str">
            <v>Expenditure</v>
          </cell>
          <cell r="D719" t="str">
            <v>P&amp;D - Building Maint. Materials</v>
          </cell>
          <cell r="E719" t="str">
            <v>2022</v>
          </cell>
          <cell r="F719">
            <v>0</v>
          </cell>
          <cell r="G719">
            <v>0</v>
          </cell>
          <cell r="H719">
            <v>0</v>
          </cell>
          <cell r="I719">
            <v>44926</v>
          </cell>
          <cell r="J719">
            <v>0</v>
          </cell>
          <cell r="K719">
            <v>0</v>
          </cell>
        </row>
        <row r="720">
          <cell r="B720" t="str">
            <v>560-400-150</v>
          </cell>
          <cell r="C720" t="str">
            <v>Expenditure</v>
          </cell>
          <cell r="D720" t="str">
            <v>P&amp;D - Building Maint. Supplies</v>
          </cell>
          <cell r="E720" t="str">
            <v>2022</v>
          </cell>
          <cell r="F720">
            <v>0</v>
          </cell>
          <cell r="G720">
            <v>0</v>
          </cell>
          <cell r="H720">
            <v>0</v>
          </cell>
          <cell r="I720">
            <v>44926</v>
          </cell>
          <cell r="J720">
            <v>0</v>
          </cell>
          <cell r="K720">
            <v>0</v>
          </cell>
        </row>
        <row r="721">
          <cell r="B721" t="str">
            <v>560-410-100</v>
          </cell>
          <cell r="C721" t="str">
            <v>Expenditure</v>
          </cell>
          <cell r="D721" t="str">
            <v>P&amp;D - Shop Supplies &amp; Small Tools</v>
          </cell>
          <cell r="E721" t="str">
            <v>2022</v>
          </cell>
          <cell r="F721">
            <v>0</v>
          </cell>
          <cell r="G721">
            <v>0</v>
          </cell>
          <cell r="H721">
            <v>0</v>
          </cell>
          <cell r="I721">
            <v>44926</v>
          </cell>
          <cell r="J721">
            <v>0</v>
          </cell>
          <cell r="K721">
            <v>0</v>
          </cell>
        </row>
        <row r="722">
          <cell r="B722" t="str">
            <v>560-410-120</v>
          </cell>
          <cell r="C722" t="str">
            <v>Expenditure</v>
          </cell>
          <cell r="D722" t="str">
            <v>P&amp;D - Shop Supplies</v>
          </cell>
          <cell r="E722" t="str">
            <v>2022</v>
          </cell>
          <cell r="F722">
            <v>0</v>
          </cell>
          <cell r="G722">
            <v>0</v>
          </cell>
          <cell r="H722">
            <v>0</v>
          </cell>
          <cell r="I722">
            <v>44926</v>
          </cell>
          <cell r="J722">
            <v>0</v>
          </cell>
          <cell r="K722">
            <v>0</v>
          </cell>
        </row>
        <row r="723">
          <cell r="B723" t="str">
            <v>560-410-130</v>
          </cell>
          <cell r="C723" t="str">
            <v>Expenditure</v>
          </cell>
          <cell r="D723" t="str">
            <v>P&amp;D - Small Tools</v>
          </cell>
          <cell r="E723" t="str">
            <v>2022</v>
          </cell>
          <cell r="F723">
            <v>0</v>
          </cell>
          <cell r="G723">
            <v>0</v>
          </cell>
          <cell r="H723">
            <v>0</v>
          </cell>
          <cell r="I723">
            <v>44926</v>
          </cell>
          <cell r="J723">
            <v>0</v>
          </cell>
          <cell r="K723">
            <v>0</v>
          </cell>
        </row>
        <row r="724">
          <cell r="B724" t="str">
            <v>560-420-100</v>
          </cell>
          <cell r="C724" t="str">
            <v>Expenditure</v>
          </cell>
          <cell r="D724" t="str">
            <v>P&amp;D - Vehicle Equip. Repair/Parts/Tools</v>
          </cell>
          <cell r="E724" t="str">
            <v>2022</v>
          </cell>
          <cell r="F724">
            <v>0</v>
          </cell>
          <cell r="G724">
            <v>0</v>
          </cell>
          <cell r="H724">
            <v>0</v>
          </cell>
          <cell r="I724">
            <v>44926</v>
          </cell>
          <cell r="J724">
            <v>0</v>
          </cell>
          <cell r="K724">
            <v>0</v>
          </cell>
        </row>
        <row r="725">
          <cell r="B725" t="str">
            <v>560-420-110</v>
          </cell>
          <cell r="C725" t="str">
            <v>Expenditure</v>
          </cell>
          <cell r="D725" t="str">
            <v>P&amp;D - Oil &amp; Gas</v>
          </cell>
          <cell r="E725" t="str">
            <v>2022</v>
          </cell>
          <cell r="F725">
            <v>0</v>
          </cell>
          <cell r="G725">
            <v>0</v>
          </cell>
          <cell r="H725">
            <v>0</v>
          </cell>
          <cell r="I725">
            <v>44926</v>
          </cell>
          <cell r="J725">
            <v>0</v>
          </cell>
          <cell r="K725">
            <v>0</v>
          </cell>
        </row>
        <row r="726">
          <cell r="B726" t="str">
            <v>560-430-100</v>
          </cell>
          <cell r="C726" t="str">
            <v>Expenditure</v>
          </cell>
          <cell r="D726" t="str">
            <v>P&amp;D - Other</v>
          </cell>
          <cell r="E726" t="str">
            <v>2022</v>
          </cell>
          <cell r="F726">
            <v>0</v>
          </cell>
          <cell r="G726">
            <v>0</v>
          </cell>
          <cell r="H726">
            <v>0</v>
          </cell>
          <cell r="I726">
            <v>44926</v>
          </cell>
          <cell r="J726">
            <v>0</v>
          </cell>
          <cell r="K726">
            <v>0</v>
          </cell>
        </row>
        <row r="727">
          <cell r="B727" t="str">
            <v>560-500-100</v>
          </cell>
          <cell r="C727" t="str">
            <v>Expenditure</v>
          </cell>
          <cell r="D727" t="str">
            <v>P&amp;D - GRANTS AND CONTRIBUTIONS</v>
          </cell>
          <cell r="E727" t="str">
            <v>2022</v>
          </cell>
          <cell r="F727">
            <v>0</v>
          </cell>
          <cell r="G727">
            <v>0</v>
          </cell>
          <cell r="H727">
            <v>0</v>
          </cell>
          <cell r="I727">
            <v>44926</v>
          </cell>
          <cell r="J727">
            <v>0</v>
          </cell>
          <cell r="K727">
            <v>0</v>
          </cell>
        </row>
        <row r="728">
          <cell r="B728" t="str">
            <v>560-500-110</v>
          </cell>
          <cell r="C728" t="str">
            <v>Expenditure</v>
          </cell>
          <cell r="D728" t="str">
            <v>P&amp;D - Grants and Contributions</v>
          </cell>
          <cell r="E728" t="str">
            <v>2022</v>
          </cell>
          <cell r="F728">
            <v>0</v>
          </cell>
          <cell r="G728">
            <v>0</v>
          </cell>
          <cell r="H728">
            <v>0</v>
          </cell>
          <cell r="I728">
            <v>44926</v>
          </cell>
          <cell r="J728">
            <v>0</v>
          </cell>
          <cell r="K728">
            <v>0</v>
          </cell>
        </row>
        <row r="729">
          <cell r="B729" t="str">
            <v>560-600-100</v>
          </cell>
          <cell r="C729" t="str">
            <v>Expenditure</v>
          </cell>
          <cell r="D729" t="str">
            <v>P&amp;D - CAPITAL EXPENDITURES</v>
          </cell>
          <cell r="E729" t="str">
            <v>2022</v>
          </cell>
          <cell r="F729">
            <v>0</v>
          </cell>
          <cell r="G729">
            <v>0</v>
          </cell>
          <cell r="H729">
            <v>0</v>
          </cell>
          <cell r="I729">
            <v>44926</v>
          </cell>
          <cell r="J729">
            <v>0</v>
          </cell>
          <cell r="K729">
            <v>0</v>
          </cell>
        </row>
        <row r="730">
          <cell r="B730" t="str">
            <v>560-600-190</v>
          </cell>
          <cell r="C730" t="str">
            <v>Expenditure</v>
          </cell>
          <cell r="D730" t="str">
            <v>P&amp;D - Purchase of Capital Assets - Other</v>
          </cell>
          <cell r="E730" t="str">
            <v>2022</v>
          </cell>
          <cell r="F730">
            <v>0</v>
          </cell>
          <cell r="G730">
            <v>0</v>
          </cell>
          <cell r="H730">
            <v>0</v>
          </cell>
          <cell r="I730">
            <v>44926</v>
          </cell>
          <cell r="J730">
            <v>0</v>
          </cell>
          <cell r="K730">
            <v>0</v>
          </cell>
        </row>
        <row r="731">
          <cell r="B731" t="str">
            <v>560-800-110</v>
          </cell>
          <cell r="C731" t="str">
            <v>Expenditure</v>
          </cell>
          <cell r="D731" t="str">
            <v>P&amp;D - Allowance for Uncollectibles</v>
          </cell>
          <cell r="E731" t="str">
            <v>2022</v>
          </cell>
          <cell r="F731">
            <v>0</v>
          </cell>
          <cell r="G731">
            <v>0</v>
          </cell>
          <cell r="H731">
            <v>0</v>
          </cell>
          <cell r="I731">
            <v>44926</v>
          </cell>
          <cell r="J731">
            <v>0</v>
          </cell>
          <cell r="K731">
            <v>0</v>
          </cell>
        </row>
        <row r="732">
          <cell r="B732" t="str">
            <v>560-900-100</v>
          </cell>
          <cell r="C732" t="str">
            <v>Expenditure</v>
          </cell>
          <cell r="D732" t="str">
            <v>P&amp;D - OTHER</v>
          </cell>
          <cell r="E732" t="str">
            <v>2022</v>
          </cell>
          <cell r="F732">
            <v>0</v>
          </cell>
          <cell r="G732">
            <v>0</v>
          </cell>
          <cell r="H732">
            <v>0</v>
          </cell>
          <cell r="I732">
            <v>44926</v>
          </cell>
          <cell r="J732">
            <v>0</v>
          </cell>
          <cell r="K732">
            <v>0</v>
          </cell>
        </row>
        <row r="733">
          <cell r="B733" t="str">
            <v>570-100-050</v>
          </cell>
          <cell r="C733" t="str">
            <v>Expenditure</v>
          </cell>
          <cell r="D733" t="str">
            <v>RECREATION, CULTURAL EXPENDITURES</v>
          </cell>
          <cell r="E733" t="str">
            <v>2022</v>
          </cell>
          <cell r="F733">
            <v>0</v>
          </cell>
          <cell r="G733">
            <v>0</v>
          </cell>
          <cell r="H733">
            <v>0</v>
          </cell>
          <cell r="I733">
            <v>44926</v>
          </cell>
          <cell r="J733">
            <v>0</v>
          </cell>
          <cell r="K733">
            <v>0</v>
          </cell>
        </row>
        <row r="734">
          <cell r="B734" t="str">
            <v>570-100-070</v>
          </cell>
          <cell r="C734" t="str">
            <v>Expenditure</v>
          </cell>
          <cell r="D734" t="str">
            <v>R&amp;C - WAGES &amp; BENEFITS</v>
          </cell>
          <cell r="E734" t="str">
            <v>2022</v>
          </cell>
          <cell r="F734">
            <v>0</v>
          </cell>
          <cell r="G734">
            <v>0</v>
          </cell>
          <cell r="H734">
            <v>0</v>
          </cell>
          <cell r="I734">
            <v>44926</v>
          </cell>
          <cell r="J734">
            <v>0</v>
          </cell>
          <cell r="K734">
            <v>0</v>
          </cell>
        </row>
        <row r="735">
          <cell r="B735" t="str">
            <v>570-110-100</v>
          </cell>
          <cell r="C735" t="str">
            <v>Expenditure</v>
          </cell>
          <cell r="D735" t="str">
            <v>R&amp;C - WAGES</v>
          </cell>
          <cell r="E735" t="str">
            <v>2022</v>
          </cell>
          <cell r="F735">
            <v>0</v>
          </cell>
          <cell r="G735">
            <v>0</v>
          </cell>
          <cell r="H735">
            <v>0</v>
          </cell>
          <cell r="I735">
            <v>44926</v>
          </cell>
          <cell r="J735">
            <v>0</v>
          </cell>
          <cell r="K735">
            <v>0</v>
          </cell>
        </row>
        <row r="736">
          <cell r="B736" t="str">
            <v>570-110-110</v>
          </cell>
          <cell r="C736" t="str">
            <v>Expenditure</v>
          </cell>
          <cell r="D736" t="str">
            <v>R&amp;C - Wages</v>
          </cell>
          <cell r="E736" t="str">
            <v>2022</v>
          </cell>
          <cell r="F736">
            <v>35158.410000000003</v>
          </cell>
          <cell r="G736">
            <v>35158.410000000003</v>
          </cell>
          <cell r="H736">
            <v>44164.83</v>
          </cell>
          <cell r="I736">
            <v>44926</v>
          </cell>
          <cell r="J736">
            <v>36326.74</v>
          </cell>
          <cell r="K736">
            <v>37478.879999999997</v>
          </cell>
        </row>
        <row r="737">
          <cell r="B737" t="str">
            <v>570-110-120</v>
          </cell>
          <cell r="C737" t="str">
            <v>Expenditure</v>
          </cell>
          <cell r="D737" t="str">
            <v>R&amp;C - Salaries - Recreation Centre</v>
          </cell>
          <cell r="E737" t="str">
            <v>2022</v>
          </cell>
          <cell r="F737">
            <v>58371.15</v>
          </cell>
          <cell r="G737">
            <v>58371.15</v>
          </cell>
          <cell r="H737">
            <v>69784.2</v>
          </cell>
          <cell r="I737">
            <v>44926</v>
          </cell>
          <cell r="J737">
            <v>109966.88</v>
          </cell>
          <cell r="K737">
            <v>64122.98</v>
          </cell>
        </row>
        <row r="738">
          <cell r="B738" t="str">
            <v>570-110-140</v>
          </cell>
          <cell r="C738" t="str">
            <v>Expenditure</v>
          </cell>
          <cell r="D738" t="str">
            <v>R&amp;C - Salaries - Swimming Pool</v>
          </cell>
          <cell r="E738" t="str">
            <v>2022</v>
          </cell>
          <cell r="F738">
            <v>48249.3</v>
          </cell>
          <cell r="G738">
            <v>48249.3</v>
          </cell>
          <cell r="H738">
            <v>67134.2</v>
          </cell>
          <cell r="I738">
            <v>44926</v>
          </cell>
          <cell r="J738">
            <v>43289.3</v>
          </cell>
          <cell r="K738">
            <v>44599.86</v>
          </cell>
        </row>
        <row r="739">
          <cell r="B739" t="str">
            <v>570-110-150</v>
          </cell>
          <cell r="C739" t="str">
            <v>Expenditure</v>
          </cell>
          <cell r="D739" t="str">
            <v>R&amp;C - Salaries - Hall</v>
          </cell>
          <cell r="E739" t="str">
            <v>2022</v>
          </cell>
          <cell r="F739">
            <v>1147</v>
          </cell>
          <cell r="G739">
            <v>1147</v>
          </cell>
          <cell r="H739">
            <v>4131.33</v>
          </cell>
          <cell r="I739">
            <v>44926</v>
          </cell>
          <cell r="J739">
            <v>2156.77</v>
          </cell>
          <cell r="K739">
            <v>59.16</v>
          </cell>
        </row>
        <row r="740">
          <cell r="B740" t="str">
            <v>570-110-160</v>
          </cell>
          <cell r="C740" t="str">
            <v>Expenditure</v>
          </cell>
          <cell r="D740" t="str">
            <v>R&amp;C - Salaries - Parks</v>
          </cell>
          <cell r="E740" t="str">
            <v>2022</v>
          </cell>
          <cell r="F740">
            <v>42637.19</v>
          </cell>
          <cell r="G740">
            <v>42637.19</v>
          </cell>
          <cell r="H740">
            <v>69546.05</v>
          </cell>
          <cell r="I740">
            <v>44926</v>
          </cell>
          <cell r="J740">
            <v>50227.08</v>
          </cell>
        </row>
        <row r="741">
          <cell r="B741" t="str">
            <v>570-110-165</v>
          </cell>
          <cell r="C741" t="str">
            <v>Expenditure</v>
          </cell>
          <cell r="D741" t="str">
            <v>R&amp;C - Salaries - Museum</v>
          </cell>
          <cell r="E741" t="str">
            <v>2022</v>
          </cell>
          <cell r="F741">
            <v>33.450000000000003</v>
          </cell>
          <cell r="G741">
            <v>33.450000000000003</v>
          </cell>
          <cell r="H741">
            <v>2054.0500000000002</v>
          </cell>
          <cell r="I741">
            <v>44926</v>
          </cell>
          <cell r="J741">
            <v>1652.83</v>
          </cell>
          <cell r="K741">
            <v>0</v>
          </cell>
        </row>
        <row r="742">
          <cell r="B742" t="str">
            <v>570-110-170</v>
          </cell>
          <cell r="C742" t="str">
            <v>Expenditure</v>
          </cell>
          <cell r="D742" t="str">
            <v>R&amp;C - Salaries - Playground Program</v>
          </cell>
          <cell r="E742" t="str">
            <v>2022</v>
          </cell>
          <cell r="F742">
            <v>4784.3100000000004</v>
          </cell>
          <cell r="G742">
            <v>4784.3100000000004</v>
          </cell>
          <cell r="H742">
            <v>7772.54</v>
          </cell>
          <cell r="I742">
            <v>44926</v>
          </cell>
          <cell r="J742">
            <v>6237.12</v>
          </cell>
          <cell r="K742">
            <v>7584.99</v>
          </cell>
        </row>
        <row r="743">
          <cell r="B743" t="str">
            <v>570-110-175</v>
          </cell>
          <cell r="C743" t="str">
            <v>Expenditure</v>
          </cell>
          <cell r="D743" t="str">
            <v>R&amp;C - Salaries - Theatre</v>
          </cell>
          <cell r="E743" t="str">
            <v>2022</v>
          </cell>
          <cell r="F743">
            <v>1504.9</v>
          </cell>
          <cell r="G743">
            <v>1504.9</v>
          </cell>
          <cell r="H743">
            <v>2235.35</v>
          </cell>
          <cell r="I743">
            <v>44926</v>
          </cell>
          <cell r="J743">
            <v>3168.88</v>
          </cell>
          <cell r="K743">
            <v>362.47</v>
          </cell>
        </row>
        <row r="744">
          <cell r="B744" t="str">
            <v>570-110-205</v>
          </cell>
          <cell r="C744" t="str">
            <v>Expenditure</v>
          </cell>
          <cell r="D744" t="str">
            <v>Transfer to Reserves - Rec Director</v>
          </cell>
          <cell r="E744" t="str">
            <v>2022</v>
          </cell>
          <cell r="F744">
            <v>0</v>
          </cell>
          <cell r="G744">
            <v>0</v>
          </cell>
          <cell r="H744">
            <v>0</v>
          </cell>
          <cell r="I744">
            <v>44926</v>
          </cell>
          <cell r="J744">
            <v>0</v>
          </cell>
        </row>
        <row r="745">
          <cell r="B745" t="str">
            <v>570-120-100</v>
          </cell>
          <cell r="C745" t="str">
            <v>Expenditure</v>
          </cell>
          <cell r="D745" t="str">
            <v>R&amp;C - BENEFITS</v>
          </cell>
          <cell r="E745" t="str">
            <v>2022</v>
          </cell>
          <cell r="F745">
            <v>0</v>
          </cell>
          <cell r="G745">
            <v>0</v>
          </cell>
          <cell r="H745">
            <v>0</v>
          </cell>
          <cell r="I745">
            <v>44926</v>
          </cell>
          <cell r="J745">
            <v>0</v>
          </cell>
          <cell r="K745">
            <v>0</v>
          </cell>
        </row>
        <row r="746">
          <cell r="B746" t="str">
            <v>570-120-110</v>
          </cell>
          <cell r="C746" t="str">
            <v>Expenditure</v>
          </cell>
          <cell r="D746" t="str">
            <v>R&amp;C - Benefits</v>
          </cell>
          <cell r="E746" t="str">
            <v>2022</v>
          </cell>
          <cell r="F746">
            <v>5233.87</v>
          </cell>
          <cell r="G746">
            <v>5233.87</v>
          </cell>
          <cell r="H746">
            <v>14658.11</v>
          </cell>
          <cell r="I746">
            <v>44926</v>
          </cell>
          <cell r="J746">
            <v>5588.4</v>
          </cell>
          <cell r="K746">
            <v>7560.27</v>
          </cell>
        </row>
        <row r="747">
          <cell r="B747" t="str">
            <v>570-120-120</v>
          </cell>
          <cell r="C747" t="str">
            <v>Expenditure</v>
          </cell>
          <cell r="D747" t="str">
            <v>R&amp;C - Benefits - Recreation Centre</v>
          </cell>
          <cell r="E747" t="str">
            <v>2022</v>
          </cell>
          <cell r="F747">
            <v>0</v>
          </cell>
          <cell r="G747">
            <v>0</v>
          </cell>
          <cell r="H747">
            <v>0</v>
          </cell>
          <cell r="I747">
            <v>44926</v>
          </cell>
          <cell r="J747">
            <v>0</v>
          </cell>
          <cell r="K747">
            <v>0</v>
          </cell>
        </row>
        <row r="748">
          <cell r="B748" t="str">
            <v>570-120-121</v>
          </cell>
          <cell r="C748" t="str">
            <v>Expenditure</v>
          </cell>
          <cell r="D748" t="str">
            <v>R&amp;C - Benefits - Rec Centre - CPP</v>
          </cell>
          <cell r="E748" t="str">
            <v>2022</v>
          </cell>
          <cell r="F748">
            <v>938.85</v>
          </cell>
          <cell r="G748">
            <v>938.85</v>
          </cell>
          <cell r="H748">
            <v>3579.9</v>
          </cell>
          <cell r="I748">
            <v>44926</v>
          </cell>
          <cell r="J748">
            <v>5536.02</v>
          </cell>
          <cell r="K748">
            <v>2860.97</v>
          </cell>
        </row>
        <row r="749">
          <cell r="B749" t="str">
            <v>570-120-122</v>
          </cell>
          <cell r="C749" t="str">
            <v>Expenditure</v>
          </cell>
          <cell r="D749" t="str">
            <v>R&amp;C - Benefits - Rec Centre - EI</v>
          </cell>
          <cell r="E749" t="str">
            <v>2022</v>
          </cell>
          <cell r="F749">
            <v>510.98</v>
          </cell>
          <cell r="G749">
            <v>510.98</v>
          </cell>
          <cell r="H749">
            <v>1401.41</v>
          </cell>
          <cell r="I749">
            <v>44926</v>
          </cell>
          <cell r="J749">
            <v>2890.32</v>
          </cell>
          <cell r="K749">
            <v>1245.6400000000001</v>
          </cell>
        </row>
        <row r="750">
          <cell r="B750" t="str">
            <v>570-120-123</v>
          </cell>
          <cell r="C750" t="str">
            <v>Expenditure</v>
          </cell>
          <cell r="D750" t="str">
            <v>R&amp;C - Benefits - Rec Centre - MEPP</v>
          </cell>
          <cell r="E750" t="str">
            <v>2022</v>
          </cell>
          <cell r="F750">
            <v>5859.41</v>
          </cell>
          <cell r="G750">
            <v>5859.41</v>
          </cell>
          <cell r="H750">
            <v>5916.58</v>
          </cell>
          <cell r="I750">
            <v>44926</v>
          </cell>
          <cell r="J750">
            <v>10082.219999999999</v>
          </cell>
          <cell r="K750">
            <v>4421.3500000000004</v>
          </cell>
        </row>
        <row r="751">
          <cell r="B751" t="str">
            <v>570-120-140</v>
          </cell>
          <cell r="C751" t="str">
            <v>Expenditure</v>
          </cell>
          <cell r="D751" t="str">
            <v>R&amp;C - Benefits - Swimming Pool</v>
          </cell>
          <cell r="E751" t="str">
            <v>2022</v>
          </cell>
          <cell r="F751">
            <v>3930.74</v>
          </cell>
          <cell r="G751">
            <v>3930.74</v>
          </cell>
          <cell r="H751">
            <v>5896.1</v>
          </cell>
          <cell r="I751">
            <v>44926</v>
          </cell>
          <cell r="J751">
            <v>4583.62</v>
          </cell>
          <cell r="K751">
            <v>3901.54</v>
          </cell>
        </row>
        <row r="752">
          <cell r="B752" t="str">
            <v>570-120-150</v>
          </cell>
          <cell r="C752" t="str">
            <v>Expenditure</v>
          </cell>
          <cell r="D752" t="str">
            <v>R&amp;C - Benefits - Hall</v>
          </cell>
          <cell r="E752" t="str">
            <v>2022</v>
          </cell>
          <cell r="F752">
            <v>370.13</v>
          </cell>
          <cell r="G752">
            <v>370.13</v>
          </cell>
          <cell r="H752">
            <v>341.62</v>
          </cell>
          <cell r="I752">
            <v>44926</v>
          </cell>
          <cell r="J752">
            <v>541.11</v>
          </cell>
          <cell r="K752">
            <v>112.95</v>
          </cell>
        </row>
        <row r="753">
          <cell r="B753" t="str">
            <v>570-120-155</v>
          </cell>
          <cell r="C753" t="str">
            <v>Expenditure</v>
          </cell>
          <cell r="D753" t="str">
            <v>R&amp;C - Benefits - Theatre</v>
          </cell>
          <cell r="E753" t="str">
            <v>2022</v>
          </cell>
          <cell r="F753">
            <v>246.12</v>
          </cell>
          <cell r="G753">
            <v>246.12</v>
          </cell>
          <cell r="H753">
            <v>1065.79</v>
          </cell>
          <cell r="I753">
            <v>44926</v>
          </cell>
          <cell r="J753">
            <v>875.02</v>
          </cell>
          <cell r="K753">
            <v>28.75</v>
          </cell>
        </row>
        <row r="754">
          <cell r="B754" t="str">
            <v>570-120-160</v>
          </cell>
          <cell r="C754" t="str">
            <v>Expenditure</v>
          </cell>
          <cell r="D754" t="str">
            <v>R&amp;C - Benefits - Museum</v>
          </cell>
          <cell r="E754" t="str">
            <v>2022</v>
          </cell>
          <cell r="F754">
            <v>243.12</v>
          </cell>
          <cell r="G754">
            <v>243.12</v>
          </cell>
          <cell r="H754">
            <v>322.58999999999997</v>
          </cell>
          <cell r="I754">
            <v>44926</v>
          </cell>
        </row>
        <row r="755">
          <cell r="B755" t="str">
            <v>570-120-170</v>
          </cell>
          <cell r="C755" t="str">
            <v>Expenditure</v>
          </cell>
          <cell r="D755" t="str">
            <v>R&amp;C - Benefits - Parks - CPP</v>
          </cell>
          <cell r="E755" t="str">
            <v>2022</v>
          </cell>
          <cell r="F755">
            <v>2964.04</v>
          </cell>
          <cell r="G755">
            <v>2964.04</v>
          </cell>
          <cell r="H755">
            <v>3153.92</v>
          </cell>
          <cell r="I755">
            <v>44926</v>
          </cell>
          <cell r="J755">
            <v>2469.65</v>
          </cell>
          <cell r="K755">
            <v>1673.23</v>
          </cell>
        </row>
        <row r="756">
          <cell r="B756" t="str">
            <v>570-120-172</v>
          </cell>
          <cell r="C756" t="str">
            <v>Expenditure</v>
          </cell>
          <cell r="D756" t="str">
            <v>R&amp;C - Benefits - Parks - EI</v>
          </cell>
          <cell r="E756" t="str">
            <v>2022</v>
          </cell>
          <cell r="F756">
            <v>1197.78</v>
          </cell>
          <cell r="G756">
            <v>1197.78</v>
          </cell>
          <cell r="H756">
            <v>1583.01</v>
          </cell>
          <cell r="I756">
            <v>44926</v>
          </cell>
          <cell r="J756">
            <v>1016.79</v>
          </cell>
          <cell r="K756">
            <v>1391.52</v>
          </cell>
        </row>
        <row r="757">
          <cell r="B757" t="str">
            <v>570-120-173</v>
          </cell>
          <cell r="C757" t="str">
            <v>Expenditure</v>
          </cell>
          <cell r="D757" t="str">
            <v>R&amp;C - Benefits - Parks - MEPP</v>
          </cell>
          <cell r="E757" t="str">
            <v>2022</v>
          </cell>
          <cell r="F757">
            <v>3473.94</v>
          </cell>
          <cell r="G757">
            <v>3473.94</v>
          </cell>
          <cell r="H757">
            <v>5826.7</v>
          </cell>
          <cell r="I757">
            <v>44926</v>
          </cell>
          <cell r="J757">
            <v>4519.66</v>
          </cell>
          <cell r="K757">
            <v>3342.2</v>
          </cell>
        </row>
        <row r="758">
          <cell r="B758" t="str">
            <v>570-120-174</v>
          </cell>
          <cell r="C758" t="str">
            <v>Expenditure</v>
          </cell>
          <cell r="D758" t="str">
            <v>R&amp;C - Benefits - Parks - WCB</v>
          </cell>
          <cell r="E758" t="str">
            <v>2022</v>
          </cell>
          <cell r="F758">
            <v>654.49</v>
          </cell>
          <cell r="G758">
            <v>654.49</v>
          </cell>
          <cell r="H758">
            <v>644.04</v>
          </cell>
          <cell r="I758">
            <v>44926</v>
          </cell>
          <cell r="J758">
            <v>625.4</v>
          </cell>
          <cell r="K758">
            <v>633.59</v>
          </cell>
        </row>
        <row r="759">
          <cell r="B759" t="str">
            <v>570-120-175</v>
          </cell>
          <cell r="C759" t="str">
            <v>Expenditure</v>
          </cell>
          <cell r="D759" t="str">
            <v>R&amp;C - Benefits - Parks - Group</v>
          </cell>
          <cell r="E759" t="str">
            <v>2022</v>
          </cell>
          <cell r="F759">
            <v>3308.17</v>
          </cell>
          <cell r="G759">
            <v>3308.17</v>
          </cell>
          <cell r="H759">
            <v>5599.52</v>
          </cell>
          <cell r="I759">
            <v>44926</v>
          </cell>
          <cell r="J759">
            <v>3957.49</v>
          </cell>
          <cell r="K759">
            <v>2366.09</v>
          </cell>
        </row>
        <row r="760">
          <cell r="B760" t="str">
            <v>570-120-180</v>
          </cell>
          <cell r="C760" t="str">
            <v>Expenditure</v>
          </cell>
          <cell r="D760" t="str">
            <v>R&amp;C - Benefits - Playground Program</v>
          </cell>
          <cell r="E760" t="str">
            <v>2022</v>
          </cell>
          <cell r="F760">
            <v>431.74</v>
          </cell>
          <cell r="G760">
            <v>431.74</v>
          </cell>
          <cell r="H760">
            <v>667.65</v>
          </cell>
          <cell r="I760">
            <v>44926</v>
          </cell>
          <cell r="J760">
            <v>528.30999999999995</v>
          </cell>
          <cell r="K760">
            <v>592.63</v>
          </cell>
        </row>
        <row r="761">
          <cell r="B761" t="str">
            <v>570-120-234</v>
          </cell>
          <cell r="C761" t="str">
            <v>Expenditure</v>
          </cell>
          <cell r="D761" t="str">
            <v>R&amp;C - Benefits - Rec Centre - WCB</v>
          </cell>
          <cell r="E761" t="str">
            <v>2022</v>
          </cell>
          <cell r="F761">
            <v>646.83000000000004</v>
          </cell>
          <cell r="G761">
            <v>646.83000000000004</v>
          </cell>
          <cell r="H761">
            <v>636.5</v>
          </cell>
          <cell r="I761">
            <v>44926</v>
          </cell>
          <cell r="J761">
            <v>0</v>
          </cell>
          <cell r="K761">
            <v>0</v>
          </cell>
        </row>
        <row r="762">
          <cell r="B762" t="str">
            <v>570-120-235</v>
          </cell>
          <cell r="C762" t="str">
            <v>Expenditure</v>
          </cell>
          <cell r="D762" t="str">
            <v>R&amp;C - Benefits - Rec Centre  - Group</v>
          </cell>
          <cell r="E762" t="str">
            <v>2022</v>
          </cell>
          <cell r="F762">
            <v>817.17</v>
          </cell>
          <cell r="G762">
            <v>817.17</v>
          </cell>
          <cell r="H762">
            <v>2769.65</v>
          </cell>
          <cell r="I762">
            <v>44926</v>
          </cell>
          <cell r="J762">
            <v>7466.34</v>
          </cell>
          <cell r="K762">
            <v>2454.1799999999998</v>
          </cell>
        </row>
        <row r="763">
          <cell r="B763" t="str">
            <v>570-200-100</v>
          </cell>
          <cell r="C763" t="str">
            <v>Expenditure</v>
          </cell>
          <cell r="D763" t="str">
            <v>R&amp;C - PROF/CONTRACT SERVICES</v>
          </cell>
          <cell r="E763" t="str">
            <v>2022</v>
          </cell>
          <cell r="F763">
            <v>0</v>
          </cell>
          <cell r="G763">
            <v>0</v>
          </cell>
          <cell r="H763">
            <v>0</v>
          </cell>
          <cell r="I763">
            <v>44926</v>
          </cell>
          <cell r="J763">
            <v>0</v>
          </cell>
          <cell r="K763">
            <v>0</v>
          </cell>
        </row>
        <row r="764">
          <cell r="B764" t="str">
            <v>570-200-110</v>
          </cell>
          <cell r="C764" t="str">
            <v>Expenditure</v>
          </cell>
          <cell r="D764" t="str">
            <v>R&amp;C - Cont. - Advertising</v>
          </cell>
          <cell r="E764" t="str">
            <v>2022</v>
          </cell>
          <cell r="F764">
            <v>400.87</v>
          </cell>
          <cell r="G764">
            <v>400.87</v>
          </cell>
          <cell r="H764">
            <v>409.88</v>
          </cell>
          <cell r="I764">
            <v>44926</v>
          </cell>
          <cell r="J764">
            <v>0</v>
          </cell>
          <cell r="K764">
            <v>280.5</v>
          </cell>
        </row>
        <row r="765">
          <cell r="B765" t="str">
            <v>570-200-115</v>
          </cell>
          <cell r="C765" t="str">
            <v>Expenditure</v>
          </cell>
          <cell r="D765" t="str">
            <v>R&amp;C - Cont. - Advertising &amp; Promo - Rink</v>
          </cell>
          <cell r="E765" t="str">
            <v>2022</v>
          </cell>
          <cell r="F765">
            <v>0</v>
          </cell>
          <cell r="G765">
            <v>0</v>
          </cell>
          <cell r="H765">
            <v>0</v>
          </cell>
          <cell r="I765">
            <v>44926</v>
          </cell>
          <cell r="J765">
            <v>0</v>
          </cell>
          <cell r="K765">
            <v>0</v>
          </cell>
        </row>
        <row r="766">
          <cell r="B766" t="str">
            <v>570-210-100</v>
          </cell>
          <cell r="C766" t="str">
            <v>Expenditure</v>
          </cell>
          <cell r="D766" t="str">
            <v>R&amp;C - Cont. - Audit/Accounting</v>
          </cell>
          <cell r="E766" t="str">
            <v>2022</v>
          </cell>
          <cell r="F766">
            <v>0</v>
          </cell>
          <cell r="G766">
            <v>0</v>
          </cell>
          <cell r="H766">
            <v>925</v>
          </cell>
          <cell r="I766">
            <v>44926</v>
          </cell>
          <cell r="J766">
            <v>0</v>
          </cell>
          <cell r="K766">
            <v>6103.15</v>
          </cell>
        </row>
        <row r="767">
          <cell r="B767" t="str">
            <v>570-220-100</v>
          </cell>
          <cell r="C767" t="str">
            <v>Expenditure</v>
          </cell>
          <cell r="D767" t="str">
            <v>R&amp;C - Cont. - Travel, Meal &amp; Subsistence</v>
          </cell>
          <cell r="E767" t="str">
            <v>2022</v>
          </cell>
          <cell r="F767">
            <v>1279</v>
          </cell>
          <cell r="G767">
            <v>1279</v>
          </cell>
          <cell r="H767">
            <v>1330</v>
          </cell>
          <cell r="I767">
            <v>44926</v>
          </cell>
          <cell r="J767">
            <v>1746</v>
          </cell>
          <cell r="K767">
            <v>809.15</v>
          </cell>
        </row>
        <row r="768">
          <cell r="B768" t="str">
            <v>570-230-100</v>
          </cell>
          <cell r="C768" t="str">
            <v>Expenditure</v>
          </cell>
          <cell r="D768" t="str">
            <v>R&amp;C - Cont. - Insurance - Rink</v>
          </cell>
          <cell r="E768" t="str">
            <v>2022</v>
          </cell>
          <cell r="F768">
            <v>15989.64</v>
          </cell>
          <cell r="G768">
            <v>15989.64</v>
          </cell>
          <cell r="H768">
            <v>14638.15</v>
          </cell>
          <cell r="I768">
            <v>44926</v>
          </cell>
          <cell r="J768">
            <v>15378.54</v>
          </cell>
          <cell r="K768">
            <v>14565.46</v>
          </cell>
        </row>
        <row r="769">
          <cell r="B769" t="str">
            <v>570-230-110</v>
          </cell>
          <cell r="C769" t="str">
            <v>Expenditure</v>
          </cell>
          <cell r="D769" t="str">
            <v>R&amp;C - Cont.- Insurance - Hall</v>
          </cell>
          <cell r="E769" t="str">
            <v>2022</v>
          </cell>
          <cell r="F769">
            <v>4226.82</v>
          </cell>
          <cell r="G769">
            <v>4226.82</v>
          </cell>
          <cell r="H769">
            <v>3901.41</v>
          </cell>
          <cell r="I769">
            <v>44926</v>
          </cell>
          <cell r="J769">
            <v>3565.9</v>
          </cell>
          <cell r="K769">
            <v>3578.56</v>
          </cell>
        </row>
        <row r="770">
          <cell r="B770" t="str">
            <v>570-230-120</v>
          </cell>
          <cell r="C770" t="str">
            <v>Expenditure</v>
          </cell>
          <cell r="D770" t="str">
            <v>R&amp;C - Cont. - Insurance - Theatre</v>
          </cell>
          <cell r="E770" t="str">
            <v>2022</v>
          </cell>
          <cell r="F770">
            <v>1781.4</v>
          </cell>
          <cell r="G770">
            <v>1781.4</v>
          </cell>
          <cell r="H770">
            <v>1660.57</v>
          </cell>
          <cell r="I770">
            <v>44926</v>
          </cell>
          <cell r="J770">
            <v>1120.48</v>
          </cell>
          <cell r="K770">
            <v>1317.58</v>
          </cell>
        </row>
        <row r="771">
          <cell r="B771" t="str">
            <v>570-230-130</v>
          </cell>
          <cell r="C771" t="str">
            <v>Expenditure</v>
          </cell>
          <cell r="D771" t="str">
            <v>R&amp;C - Cont. - Insurance - Pool</v>
          </cell>
          <cell r="E771" t="str">
            <v>2022</v>
          </cell>
          <cell r="F771">
            <v>1551.38</v>
          </cell>
          <cell r="G771">
            <v>1551.38</v>
          </cell>
          <cell r="H771">
            <v>1443.27</v>
          </cell>
          <cell r="I771">
            <v>44926</v>
          </cell>
          <cell r="J771">
            <v>840.64</v>
          </cell>
          <cell r="K771">
            <v>1056.82</v>
          </cell>
        </row>
        <row r="772">
          <cell r="B772" t="str">
            <v>570-230-135</v>
          </cell>
          <cell r="C772" t="str">
            <v>Expenditure</v>
          </cell>
          <cell r="D772" t="str">
            <v>R&amp;C - Cont. - Insurance - Parks, CG &amp; SG</v>
          </cell>
          <cell r="E772" t="str">
            <v>2022</v>
          </cell>
          <cell r="F772">
            <v>2954.36</v>
          </cell>
          <cell r="G772">
            <v>2954.36</v>
          </cell>
          <cell r="H772">
            <v>2864.79</v>
          </cell>
          <cell r="I772">
            <v>44926</v>
          </cell>
          <cell r="J772">
            <v>1331.48</v>
          </cell>
          <cell r="K772">
            <v>1790.34</v>
          </cell>
        </row>
        <row r="773">
          <cell r="B773" t="str">
            <v>570-230-145</v>
          </cell>
          <cell r="C773" t="str">
            <v>Expenditure</v>
          </cell>
          <cell r="D773" t="str">
            <v>R&amp;C - Cont. - Insurance - Museum</v>
          </cell>
          <cell r="E773" t="str">
            <v>2022</v>
          </cell>
          <cell r="F773">
            <v>575.12</v>
          </cell>
          <cell r="G773">
            <v>575.12</v>
          </cell>
          <cell r="H773">
            <v>554.99</v>
          </cell>
          <cell r="I773">
            <v>44926</v>
          </cell>
          <cell r="J773">
            <v>-84.74</v>
          </cell>
          <cell r="K773">
            <v>204.58</v>
          </cell>
        </row>
        <row r="774">
          <cell r="B774" t="str">
            <v>570-230-150</v>
          </cell>
          <cell r="C774" t="str">
            <v>Expenditure</v>
          </cell>
          <cell r="D774" t="str">
            <v>R&amp;C - Cont. - Insurance - Library &amp; Golf</v>
          </cell>
          <cell r="E774" t="str">
            <v>2022</v>
          </cell>
          <cell r="F774">
            <v>2796</v>
          </cell>
          <cell r="G774">
            <v>2796</v>
          </cell>
          <cell r="H774">
            <v>3389.93</v>
          </cell>
          <cell r="I774">
            <v>44926</v>
          </cell>
          <cell r="J774">
            <v>1682.28</v>
          </cell>
          <cell r="K774">
            <v>1839.1</v>
          </cell>
        </row>
        <row r="775">
          <cell r="B775" t="str">
            <v>570-240-100</v>
          </cell>
          <cell r="C775" t="str">
            <v>Expenditure</v>
          </cell>
          <cell r="D775" t="str">
            <v>R&amp;C - Cont. - Memberships/Subscript - RD</v>
          </cell>
          <cell r="E775" t="str">
            <v>2022</v>
          </cell>
          <cell r="F775">
            <v>3374.74</v>
          </cell>
          <cell r="G775">
            <v>3374.74</v>
          </cell>
          <cell r="H775">
            <v>8396.2900000000009</v>
          </cell>
          <cell r="I775">
            <v>44926</v>
          </cell>
          <cell r="J775">
            <v>115</v>
          </cell>
          <cell r="K775">
            <v>115</v>
          </cell>
        </row>
        <row r="776">
          <cell r="B776" t="str">
            <v>570-240-110</v>
          </cell>
          <cell r="C776" t="str">
            <v>Expenditure</v>
          </cell>
          <cell r="D776" t="str">
            <v>R&amp;C - Cont  Memberships/Subscript - Rink</v>
          </cell>
          <cell r="E776" t="str">
            <v>2022</v>
          </cell>
          <cell r="F776">
            <v>206</v>
          </cell>
          <cell r="G776">
            <v>206</v>
          </cell>
          <cell r="H776">
            <v>0</v>
          </cell>
          <cell r="I776">
            <v>44926</v>
          </cell>
          <cell r="J776">
            <v>681</v>
          </cell>
          <cell r="K776">
            <v>787.5</v>
          </cell>
        </row>
        <row r="777">
          <cell r="B777" t="str">
            <v>570-240-120</v>
          </cell>
          <cell r="C777" t="str">
            <v>Expenditure</v>
          </cell>
          <cell r="D777" t="str">
            <v>R&amp;C - Cont. Memberships/Subscript - Hall</v>
          </cell>
          <cell r="E777" t="str">
            <v>2022</v>
          </cell>
          <cell r="F777">
            <v>198.58</v>
          </cell>
          <cell r="G777">
            <v>198.58</v>
          </cell>
          <cell r="H777">
            <v>198.58</v>
          </cell>
          <cell r="I777">
            <v>44926</v>
          </cell>
          <cell r="J777">
            <v>0</v>
          </cell>
          <cell r="K777">
            <v>185.07</v>
          </cell>
        </row>
        <row r="778">
          <cell r="B778" t="str">
            <v>570-240-130</v>
          </cell>
          <cell r="C778" t="str">
            <v>Expenditure</v>
          </cell>
          <cell r="D778" t="str">
            <v>R&amp;C - Cont. - Memberships/Sub - Theatre</v>
          </cell>
          <cell r="E778" t="str">
            <v>2022</v>
          </cell>
          <cell r="F778">
            <v>208.04</v>
          </cell>
          <cell r="G778">
            <v>208.04</v>
          </cell>
          <cell r="H778">
            <v>198.58</v>
          </cell>
          <cell r="I778">
            <v>44926</v>
          </cell>
          <cell r="J778">
            <v>198.58</v>
          </cell>
          <cell r="K778">
            <v>185.07</v>
          </cell>
        </row>
        <row r="779">
          <cell r="B779" t="str">
            <v>570-240-140</v>
          </cell>
          <cell r="C779" t="str">
            <v>Expenditure</v>
          </cell>
          <cell r="D779" t="str">
            <v>R&amp;C - Cont. - Memberships/Sub - Museum</v>
          </cell>
          <cell r="E779" t="str">
            <v>2022</v>
          </cell>
          <cell r="F779">
            <v>0</v>
          </cell>
          <cell r="G779">
            <v>0</v>
          </cell>
          <cell r="H779">
            <v>50</v>
          </cell>
          <cell r="I779">
            <v>44926</v>
          </cell>
          <cell r="J779">
            <v>50</v>
          </cell>
          <cell r="K779">
            <v>50</v>
          </cell>
        </row>
        <row r="780">
          <cell r="B780" t="str">
            <v>570-250-100</v>
          </cell>
          <cell r="C780" t="str">
            <v>Expenditure</v>
          </cell>
          <cell r="D780" t="str">
            <v>R&amp;C - Cont. - Conference Fees/Train - RD</v>
          </cell>
          <cell r="E780" t="str">
            <v>2022</v>
          </cell>
          <cell r="F780">
            <v>1217.3900000000001</v>
          </cell>
          <cell r="G780">
            <v>1217.3900000000001</v>
          </cell>
          <cell r="H780">
            <v>530</v>
          </cell>
          <cell r="I780">
            <v>44926</v>
          </cell>
          <cell r="J780">
            <v>157.5</v>
          </cell>
          <cell r="K780">
            <v>1792.21</v>
          </cell>
        </row>
        <row r="781">
          <cell r="B781" t="str">
            <v>570-250-110</v>
          </cell>
          <cell r="C781" t="str">
            <v>Expenditure</v>
          </cell>
          <cell r="D781" t="str">
            <v>R&amp;C - Cont. - Conf. Fees/Training - Rink</v>
          </cell>
          <cell r="E781" t="str">
            <v>2022</v>
          </cell>
          <cell r="F781">
            <v>0</v>
          </cell>
          <cell r="G781">
            <v>0</v>
          </cell>
          <cell r="H781">
            <v>1910</v>
          </cell>
          <cell r="I781">
            <v>44926</v>
          </cell>
          <cell r="J781">
            <v>0</v>
          </cell>
          <cell r="K781">
            <v>304</v>
          </cell>
        </row>
        <row r="782">
          <cell r="B782" t="str">
            <v>570-250-115</v>
          </cell>
          <cell r="C782" t="str">
            <v>Expenditure</v>
          </cell>
          <cell r="D782" t="str">
            <v>R&amp;C - Cont. - Conf. Fees/Train - Parks</v>
          </cell>
          <cell r="E782" t="str">
            <v>2022</v>
          </cell>
          <cell r="F782">
            <v>302.54000000000002</v>
          </cell>
          <cell r="G782">
            <v>302.54000000000002</v>
          </cell>
          <cell r="H782">
            <v>2039.5</v>
          </cell>
          <cell r="I782">
            <v>44926</v>
          </cell>
          <cell r="J782">
            <v>600</v>
          </cell>
          <cell r="K782">
            <v>1224.18</v>
          </cell>
        </row>
        <row r="783">
          <cell r="B783" t="str">
            <v>570-250-120</v>
          </cell>
          <cell r="C783" t="str">
            <v>Expenditure</v>
          </cell>
          <cell r="D783" t="str">
            <v>R&amp;C - Cont. - Conf. Fees/Training - Pool</v>
          </cell>
          <cell r="E783" t="str">
            <v>2022</v>
          </cell>
          <cell r="F783">
            <v>1050</v>
          </cell>
          <cell r="G783">
            <v>1050</v>
          </cell>
          <cell r="H783">
            <v>0</v>
          </cell>
          <cell r="I783">
            <v>44926</v>
          </cell>
          <cell r="J783">
            <v>0</v>
          </cell>
          <cell r="K783">
            <v>673</v>
          </cell>
        </row>
        <row r="784">
          <cell r="B784" t="str">
            <v>570-250-140</v>
          </cell>
          <cell r="C784" t="str">
            <v>Expenditure</v>
          </cell>
          <cell r="D784" t="str">
            <v>R&amp;C - Cont. - Memberships/Subscrip -Pool</v>
          </cell>
          <cell r="E784" t="str">
            <v>2022</v>
          </cell>
          <cell r="F784">
            <v>605.21</v>
          </cell>
          <cell r="G784">
            <v>605.21</v>
          </cell>
          <cell r="H784">
            <v>480.21</v>
          </cell>
          <cell r="I784">
            <v>44926</v>
          </cell>
          <cell r="J784">
            <v>550.21</v>
          </cell>
          <cell r="K784">
            <v>362.22</v>
          </cell>
        </row>
        <row r="785">
          <cell r="B785" t="str">
            <v>570-260-100</v>
          </cell>
          <cell r="C785" t="str">
            <v>Expenditure</v>
          </cell>
          <cell r="D785" t="str">
            <v>R&amp;C - Cont. - Phone - RD/FM</v>
          </cell>
          <cell r="E785" t="str">
            <v>2022</v>
          </cell>
          <cell r="F785">
            <v>1364.99</v>
          </cell>
          <cell r="G785">
            <v>1364.99</v>
          </cell>
          <cell r="H785">
            <v>2316.96</v>
          </cell>
          <cell r="I785">
            <v>44926</v>
          </cell>
          <cell r="J785">
            <v>1856.87</v>
          </cell>
          <cell r="K785">
            <v>1768.46</v>
          </cell>
        </row>
        <row r="786">
          <cell r="B786" t="str">
            <v>570-270-100</v>
          </cell>
          <cell r="C786" t="str">
            <v>Expenditure</v>
          </cell>
          <cell r="D786" t="str">
            <v>R&amp;C - Cont. - Contracted Maint. - Parks</v>
          </cell>
          <cell r="E786" t="str">
            <v>2022</v>
          </cell>
          <cell r="F786">
            <v>402.5</v>
          </cell>
          <cell r="G786">
            <v>402.5</v>
          </cell>
          <cell r="H786">
            <v>-3823</v>
          </cell>
          <cell r="I786">
            <v>44926</v>
          </cell>
          <cell r="J786">
            <v>6576.65</v>
          </cell>
          <cell r="K786">
            <v>20900.66</v>
          </cell>
        </row>
        <row r="787">
          <cell r="B787" t="str">
            <v>570-270-110</v>
          </cell>
          <cell r="C787" t="str">
            <v>Expenditure</v>
          </cell>
          <cell r="D787" t="str">
            <v>R&amp;C - Cont. - Contracted Maint. - Hall</v>
          </cell>
          <cell r="E787" t="str">
            <v>2022</v>
          </cell>
          <cell r="F787">
            <v>1656.22</v>
          </cell>
          <cell r="G787">
            <v>1656.22</v>
          </cell>
          <cell r="H787">
            <v>0</v>
          </cell>
          <cell r="I787">
            <v>44926</v>
          </cell>
          <cell r="J787">
            <v>3000</v>
          </cell>
          <cell r="K787">
            <v>6000</v>
          </cell>
        </row>
        <row r="788">
          <cell r="B788" t="str">
            <v>570-270-120</v>
          </cell>
          <cell r="C788" t="str">
            <v>Expenditure</v>
          </cell>
          <cell r="D788" t="str">
            <v>R&amp;C - Cont. - Contracted Maint.- Theatre</v>
          </cell>
          <cell r="E788" t="str">
            <v>2022</v>
          </cell>
          <cell r="F788">
            <v>0</v>
          </cell>
          <cell r="G788">
            <v>0</v>
          </cell>
          <cell r="H788">
            <v>-0.05</v>
          </cell>
          <cell r="I788">
            <v>44926</v>
          </cell>
          <cell r="J788">
            <v>0</v>
          </cell>
          <cell r="K788">
            <v>12319.62</v>
          </cell>
        </row>
        <row r="789">
          <cell r="B789" t="str">
            <v>570-270-130</v>
          </cell>
          <cell r="C789" t="str">
            <v>Expenditure</v>
          </cell>
          <cell r="D789" t="str">
            <v>R&amp;C - Cont. - Contracted Maint. - Rink</v>
          </cell>
          <cell r="E789" t="str">
            <v>2022</v>
          </cell>
          <cell r="F789">
            <v>65</v>
          </cell>
          <cell r="G789">
            <v>65</v>
          </cell>
          <cell r="H789">
            <v>548.66</v>
          </cell>
          <cell r="I789">
            <v>44926</v>
          </cell>
          <cell r="J789">
            <v>260</v>
          </cell>
          <cell r="K789">
            <v>0</v>
          </cell>
        </row>
        <row r="790">
          <cell r="B790" t="str">
            <v>570-280-100</v>
          </cell>
          <cell r="C790" t="str">
            <v>Expenditure</v>
          </cell>
          <cell r="D790" t="str">
            <v>R&amp;C - Cont. - Contract Equip. Rprs Parks</v>
          </cell>
          <cell r="E790" t="str">
            <v>2022</v>
          </cell>
          <cell r="F790">
            <v>0</v>
          </cell>
          <cell r="G790">
            <v>0</v>
          </cell>
          <cell r="H790">
            <v>500</v>
          </cell>
          <cell r="I790">
            <v>44926</v>
          </cell>
          <cell r="J790">
            <v>86.67</v>
          </cell>
          <cell r="K790">
            <v>327.39999999999998</v>
          </cell>
        </row>
        <row r="791">
          <cell r="B791" t="str">
            <v>570-280-110</v>
          </cell>
          <cell r="C791" t="str">
            <v>Expenditure</v>
          </cell>
          <cell r="D791" t="str">
            <v>R&amp;C - Contr. - Contracted Maint. - Rink</v>
          </cell>
          <cell r="E791" t="str">
            <v>2022</v>
          </cell>
          <cell r="F791">
            <v>0</v>
          </cell>
          <cell r="G791">
            <v>0</v>
          </cell>
          <cell r="H791">
            <v>0</v>
          </cell>
          <cell r="I791">
            <v>44926</v>
          </cell>
          <cell r="J791">
            <v>0</v>
          </cell>
          <cell r="K791">
            <v>2232.36</v>
          </cell>
        </row>
        <row r="792">
          <cell r="B792" t="str">
            <v>570-285-135</v>
          </cell>
          <cell r="C792" t="str">
            <v>Expenditure</v>
          </cell>
          <cell r="D792" t="str">
            <v>R&amp;C - Cont. - Building Maintenance Parks</v>
          </cell>
          <cell r="E792" t="str">
            <v>2022</v>
          </cell>
          <cell r="F792">
            <v>7768.54</v>
          </cell>
          <cell r="G792">
            <v>7768.54</v>
          </cell>
          <cell r="H792">
            <v>27352.02</v>
          </cell>
          <cell r="I792">
            <v>44926</v>
          </cell>
          <cell r="J792">
            <v>1371.51</v>
          </cell>
          <cell r="K792">
            <v>5240.8599999999997</v>
          </cell>
        </row>
        <row r="793">
          <cell r="B793" t="str">
            <v>570-285-140</v>
          </cell>
          <cell r="C793" t="str">
            <v>Expenditure</v>
          </cell>
          <cell r="D793" t="str">
            <v>R&amp;C - Cont. - Building Maint - Scouthall</v>
          </cell>
          <cell r="E793" t="str">
            <v>2022</v>
          </cell>
          <cell r="F793">
            <v>0</v>
          </cell>
          <cell r="G793">
            <v>0</v>
          </cell>
          <cell r="H793">
            <v>0</v>
          </cell>
          <cell r="I793">
            <v>44926</v>
          </cell>
          <cell r="J793">
            <v>0</v>
          </cell>
          <cell r="K793">
            <v>0</v>
          </cell>
        </row>
        <row r="794">
          <cell r="B794" t="str">
            <v>570-285-150</v>
          </cell>
          <cell r="C794" t="str">
            <v>Expenditure</v>
          </cell>
          <cell r="D794" t="str">
            <v>R&amp;C - Cont. - Building Maint. - Museum</v>
          </cell>
          <cell r="E794" t="str">
            <v>2022</v>
          </cell>
          <cell r="F794">
            <v>384.19</v>
          </cell>
          <cell r="G794">
            <v>384.19</v>
          </cell>
          <cell r="H794">
            <v>0</v>
          </cell>
          <cell r="I794">
            <v>44926</v>
          </cell>
          <cell r="J794">
            <v>103.03</v>
          </cell>
          <cell r="K794">
            <v>15.04</v>
          </cell>
        </row>
        <row r="795">
          <cell r="B795" t="str">
            <v>570-290-100</v>
          </cell>
          <cell r="C795" t="str">
            <v>Expenditure</v>
          </cell>
          <cell r="D795" t="str">
            <v>R&amp;C - Cont. - Grant/Donation</v>
          </cell>
          <cell r="E795" t="str">
            <v>2022</v>
          </cell>
          <cell r="F795">
            <v>42596.27</v>
          </cell>
          <cell r="G795">
            <v>42596.27</v>
          </cell>
          <cell r="H795">
            <v>34269.22</v>
          </cell>
          <cell r="I795">
            <v>44926</v>
          </cell>
          <cell r="J795">
            <v>96238.86</v>
          </cell>
          <cell r="K795">
            <v>31696.33</v>
          </cell>
        </row>
        <row r="796">
          <cell r="B796" t="str">
            <v>570-290-108</v>
          </cell>
          <cell r="C796" t="str">
            <v>Expenditure</v>
          </cell>
          <cell r="D796" t="str">
            <v>R&amp;C - Cont. - Library Lease</v>
          </cell>
          <cell r="E796" t="str">
            <v>2022</v>
          </cell>
          <cell r="F796">
            <v>21515.69</v>
          </cell>
          <cell r="G796">
            <v>21515.69</v>
          </cell>
          <cell r="H796">
            <v>39787.39</v>
          </cell>
          <cell r="I796">
            <v>44926</v>
          </cell>
          <cell r="J796">
            <v>36019.72</v>
          </cell>
          <cell r="K796">
            <v>31400</v>
          </cell>
        </row>
        <row r="797">
          <cell r="B797" t="str">
            <v>570-290-110</v>
          </cell>
          <cell r="C797" t="str">
            <v>Expenditure</v>
          </cell>
          <cell r="D797" t="str">
            <v>R&amp;C - Special Events Expense</v>
          </cell>
          <cell r="E797" t="str">
            <v>2022</v>
          </cell>
          <cell r="F797">
            <v>0</v>
          </cell>
          <cell r="G797">
            <v>0</v>
          </cell>
          <cell r="H797">
            <v>0</v>
          </cell>
          <cell r="I797">
            <v>44926</v>
          </cell>
          <cell r="J797">
            <v>0</v>
          </cell>
        </row>
        <row r="798">
          <cell r="B798" t="str">
            <v>570-300-100</v>
          </cell>
          <cell r="C798" t="str">
            <v>Expenditure</v>
          </cell>
          <cell r="D798" t="str">
            <v>R&amp;C - UTILITIES</v>
          </cell>
          <cell r="E798" t="str">
            <v>2022</v>
          </cell>
          <cell r="F798">
            <v>0</v>
          </cell>
          <cell r="G798">
            <v>0</v>
          </cell>
          <cell r="H798">
            <v>0</v>
          </cell>
          <cell r="I798">
            <v>44926</v>
          </cell>
          <cell r="J798">
            <v>0</v>
          </cell>
          <cell r="K798">
            <v>0</v>
          </cell>
        </row>
        <row r="799">
          <cell r="B799" t="str">
            <v>570-300-110</v>
          </cell>
          <cell r="C799" t="str">
            <v>Expenditure</v>
          </cell>
          <cell r="D799" t="str">
            <v>R&amp;C - Utility - Heat - Rec Centre</v>
          </cell>
          <cell r="E799" t="str">
            <v>2022</v>
          </cell>
          <cell r="F799">
            <v>14443.22</v>
          </cell>
          <cell r="G799">
            <v>14443.22</v>
          </cell>
          <cell r="H799">
            <v>12212.9</v>
          </cell>
          <cell r="I799">
            <v>44926</v>
          </cell>
          <cell r="J799">
            <v>18989.03</v>
          </cell>
          <cell r="K799">
            <v>3345.08</v>
          </cell>
        </row>
        <row r="800">
          <cell r="B800" t="str">
            <v>570-300-130</v>
          </cell>
          <cell r="C800" t="str">
            <v>Expenditure</v>
          </cell>
          <cell r="D800" t="str">
            <v>R&amp;C - Utility - Heat - Swimming Pool</v>
          </cell>
          <cell r="E800" t="str">
            <v>2022</v>
          </cell>
          <cell r="F800">
            <v>1413.84</v>
          </cell>
          <cell r="G800">
            <v>1413.84</v>
          </cell>
          <cell r="H800">
            <v>6174.73</v>
          </cell>
          <cell r="I800">
            <v>44926</v>
          </cell>
          <cell r="J800">
            <v>3200.63</v>
          </cell>
          <cell r="K800">
            <v>4852.7700000000004</v>
          </cell>
        </row>
        <row r="801">
          <cell r="B801" t="str">
            <v>570-300-140</v>
          </cell>
          <cell r="C801" t="str">
            <v>Expenditure</v>
          </cell>
          <cell r="D801" t="str">
            <v>R&amp;C - Utility - Heat - Theatre</v>
          </cell>
          <cell r="E801" t="str">
            <v>2022</v>
          </cell>
          <cell r="F801">
            <v>4136.47</v>
          </cell>
          <cell r="G801">
            <v>4136.47</v>
          </cell>
          <cell r="H801">
            <v>2299.88</v>
          </cell>
          <cell r="I801">
            <v>44926</v>
          </cell>
          <cell r="J801">
            <v>4154.95</v>
          </cell>
          <cell r="K801">
            <v>4319.7700000000004</v>
          </cell>
        </row>
        <row r="802">
          <cell r="B802" t="str">
            <v>570-300-150</v>
          </cell>
          <cell r="C802" t="str">
            <v>Expenditure</v>
          </cell>
          <cell r="D802" t="str">
            <v>R&amp;C - Utility - Heat - Hall</v>
          </cell>
          <cell r="E802" t="str">
            <v>2022</v>
          </cell>
          <cell r="F802">
            <v>1624.42</v>
          </cell>
          <cell r="G802">
            <v>1624.42</v>
          </cell>
          <cell r="H802">
            <v>2201.85</v>
          </cell>
          <cell r="I802">
            <v>44926</v>
          </cell>
          <cell r="J802">
            <v>2221.02</v>
          </cell>
          <cell r="K802">
            <v>2205.5100000000002</v>
          </cell>
        </row>
        <row r="803">
          <cell r="B803" t="str">
            <v>570-300-160</v>
          </cell>
          <cell r="C803" t="str">
            <v>Expenditure</v>
          </cell>
          <cell r="D803" t="str">
            <v>R&amp;C - Utility - Heat - Parks, CG &amp; SG</v>
          </cell>
          <cell r="E803" t="str">
            <v>2022</v>
          </cell>
          <cell r="F803">
            <v>252.31</v>
          </cell>
          <cell r="G803">
            <v>252.31</v>
          </cell>
          <cell r="H803">
            <v>552.04</v>
          </cell>
          <cell r="I803">
            <v>44926</v>
          </cell>
          <cell r="J803">
            <v>77.569999999999993</v>
          </cell>
          <cell r="K803">
            <v>601.97</v>
          </cell>
        </row>
        <row r="804">
          <cell r="B804" t="str">
            <v>570-300-170</v>
          </cell>
          <cell r="C804" t="str">
            <v>Expenditure</v>
          </cell>
          <cell r="D804" t="str">
            <v>R&amp;C - Utility - Heat - Museum</v>
          </cell>
          <cell r="E804" t="str">
            <v>2022</v>
          </cell>
          <cell r="F804">
            <v>1953.95</v>
          </cell>
          <cell r="G804">
            <v>1953.95</v>
          </cell>
          <cell r="H804">
            <v>2806.14</v>
          </cell>
          <cell r="I804">
            <v>44926</v>
          </cell>
          <cell r="J804">
            <v>2732.13</v>
          </cell>
          <cell r="K804">
            <v>2830.84</v>
          </cell>
        </row>
        <row r="805">
          <cell r="B805" t="str">
            <v>570-310-110</v>
          </cell>
          <cell r="C805" t="str">
            <v>Expenditure</v>
          </cell>
          <cell r="D805" t="str">
            <v>R&amp;C - Utility - Power - Rec Centre</v>
          </cell>
          <cell r="E805" t="str">
            <v>2022</v>
          </cell>
          <cell r="F805">
            <v>18276.16</v>
          </cell>
          <cell r="G805">
            <v>18276.16</v>
          </cell>
          <cell r="H805">
            <v>23046.37</v>
          </cell>
          <cell r="I805">
            <v>44926</v>
          </cell>
          <cell r="J805">
            <v>42631.79</v>
          </cell>
          <cell r="K805">
            <v>20500.82</v>
          </cell>
        </row>
        <row r="806">
          <cell r="B806" t="str">
            <v>570-310-130</v>
          </cell>
          <cell r="C806" t="str">
            <v>Expenditure</v>
          </cell>
          <cell r="D806" t="str">
            <v>R&amp;C - Utility - Power - Swimming Pool</v>
          </cell>
          <cell r="E806" t="str">
            <v>2022</v>
          </cell>
          <cell r="F806">
            <v>1947.67</v>
          </cell>
          <cell r="G806">
            <v>1947.67</v>
          </cell>
          <cell r="H806">
            <v>2461.11</v>
          </cell>
          <cell r="I806">
            <v>44926</v>
          </cell>
          <cell r="J806">
            <v>1941.64</v>
          </cell>
          <cell r="K806">
            <v>3876.76</v>
          </cell>
        </row>
        <row r="807">
          <cell r="B807" t="str">
            <v>570-310-140</v>
          </cell>
          <cell r="C807" t="str">
            <v>Expenditure</v>
          </cell>
          <cell r="D807" t="str">
            <v>R&amp;C - Utility - Power - Theatre</v>
          </cell>
          <cell r="E807" t="str">
            <v>2022</v>
          </cell>
          <cell r="F807">
            <v>1715.66</v>
          </cell>
          <cell r="G807">
            <v>1715.66</v>
          </cell>
          <cell r="H807">
            <v>2404.92</v>
          </cell>
          <cell r="I807">
            <v>44926</v>
          </cell>
          <cell r="J807">
            <v>1971</v>
          </cell>
          <cell r="K807">
            <v>3261</v>
          </cell>
        </row>
        <row r="808">
          <cell r="B808" t="str">
            <v>570-310-150</v>
          </cell>
          <cell r="C808" t="str">
            <v>Expenditure</v>
          </cell>
          <cell r="D808" t="str">
            <v>R&amp;C - Utility - Power - Hall</v>
          </cell>
          <cell r="E808" t="str">
            <v>2022</v>
          </cell>
          <cell r="F808">
            <v>3248.9</v>
          </cell>
          <cell r="G808">
            <v>3248.9</v>
          </cell>
          <cell r="H808">
            <v>3794.54</v>
          </cell>
          <cell r="I808">
            <v>44926</v>
          </cell>
          <cell r="J808">
            <v>3613.49</v>
          </cell>
          <cell r="K808">
            <v>3654.08</v>
          </cell>
        </row>
        <row r="809">
          <cell r="B809" t="str">
            <v>570-310-160</v>
          </cell>
          <cell r="C809" t="str">
            <v>Expenditure</v>
          </cell>
          <cell r="D809" t="str">
            <v>R&amp;C - Utility - Power - Parks, CG &amp; SG</v>
          </cell>
          <cell r="E809" t="str">
            <v>2022</v>
          </cell>
          <cell r="F809">
            <v>3065.16</v>
          </cell>
          <cell r="G809">
            <v>3065.16</v>
          </cell>
          <cell r="H809">
            <v>3793.66</v>
          </cell>
          <cell r="I809">
            <v>44926</v>
          </cell>
          <cell r="J809">
            <v>1046.8</v>
          </cell>
          <cell r="K809">
            <v>7217.12</v>
          </cell>
        </row>
        <row r="810">
          <cell r="B810" t="str">
            <v>570-310-170</v>
          </cell>
          <cell r="C810" t="str">
            <v>Expenditure</v>
          </cell>
          <cell r="D810" t="str">
            <v>R&amp;C - Utility - Power - Museum</v>
          </cell>
          <cell r="E810" t="str">
            <v>2022</v>
          </cell>
          <cell r="F810">
            <v>778.15</v>
          </cell>
          <cell r="G810">
            <v>778.15</v>
          </cell>
          <cell r="H810">
            <v>1080.3399999999999</v>
          </cell>
          <cell r="I810">
            <v>44926</v>
          </cell>
          <cell r="J810">
            <v>1160.8599999999999</v>
          </cell>
          <cell r="K810">
            <v>1154.54</v>
          </cell>
        </row>
        <row r="811">
          <cell r="B811" t="str">
            <v>570-320-110</v>
          </cell>
          <cell r="C811" t="str">
            <v>Expenditure</v>
          </cell>
          <cell r="D811" t="str">
            <v>R&amp;C - Utility - Water - Rec Centre</v>
          </cell>
          <cell r="E811" t="str">
            <v>2022</v>
          </cell>
          <cell r="F811">
            <v>1239.5999999999999</v>
          </cell>
          <cell r="G811">
            <v>1239.5999999999999</v>
          </cell>
          <cell r="H811">
            <v>1825.21</v>
          </cell>
          <cell r="I811">
            <v>44926</v>
          </cell>
          <cell r="J811">
            <v>2143.27</v>
          </cell>
          <cell r="K811">
            <v>3156.51</v>
          </cell>
        </row>
        <row r="812">
          <cell r="B812" t="str">
            <v>570-320-130</v>
          </cell>
          <cell r="C812" t="str">
            <v>Expenditure</v>
          </cell>
          <cell r="D812" t="str">
            <v>R&amp;C - Utility - Water - Swimming Pool</v>
          </cell>
          <cell r="E812" t="str">
            <v>2022</v>
          </cell>
          <cell r="F812">
            <v>619.79999999999995</v>
          </cell>
          <cell r="G812">
            <v>619.79999999999995</v>
          </cell>
          <cell r="H812">
            <v>1060.33</v>
          </cell>
          <cell r="I812">
            <v>44926</v>
          </cell>
          <cell r="J812">
            <v>1021.39</v>
          </cell>
          <cell r="K812">
            <v>609.62</v>
          </cell>
        </row>
        <row r="813">
          <cell r="B813" t="str">
            <v>570-320-140</v>
          </cell>
          <cell r="C813" t="str">
            <v>Expenditure</v>
          </cell>
          <cell r="D813" t="str">
            <v>R&amp;C - Utility - Water - Theatre</v>
          </cell>
          <cell r="E813" t="str">
            <v>2022</v>
          </cell>
          <cell r="F813">
            <v>716.66</v>
          </cell>
          <cell r="G813">
            <v>716.66</v>
          </cell>
          <cell r="H813">
            <v>1239.69</v>
          </cell>
          <cell r="I813">
            <v>44926</v>
          </cell>
          <cell r="J813">
            <v>1528.17</v>
          </cell>
          <cell r="K813">
            <v>1077.92</v>
          </cell>
        </row>
        <row r="814">
          <cell r="B814" t="str">
            <v>570-320-150</v>
          </cell>
          <cell r="C814" t="str">
            <v>Expenditure</v>
          </cell>
          <cell r="D814" t="str">
            <v>R&amp;C - Utility - Water - Hall</v>
          </cell>
          <cell r="E814" t="str">
            <v>2022</v>
          </cell>
          <cell r="F814">
            <v>619.79999999999995</v>
          </cell>
          <cell r="G814">
            <v>619.79999999999995</v>
          </cell>
          <cell r="H814">
            <v>1049.1400000000001</v>
          </cell>
          <cell r="I814">
            <v>44926</v>
          </cell>
          <cell r="J814">
            <v>1026.9000000000001</v>
          </cell>
          <cell r="K814">
            <v>967.97</v>
          </cell>
        </row>
        <row r="815">
          <cell r="B815" t="str">
            <v>570-320-160</v>
          </cell>
          <cell r="C815" t="str">
            <v>Expenditure</v>
          </cell>
          <cell r="D815" t="str">
            <v>R&amp;C - Utility - Water - GC</v>
          </cell>
          <cell r="E815" t="str">
            <v>2022</v>
          </cell>
          <cell r="F815">
            <v>1030.74</v>
          </cell>
          <cell r="G815">
            <v>1030.74</v>
          </cell>
          <cell r="H815">
            <v>4340.08</v>
          </cell>
          <cell r="I815">
            <v>44926</v>
          </cell>
          <cell r="J815">
            <v>2959.75</v>
          </cell>
          <cell r="K815">
            <v>2175.44</v>
          </cell>
        </row>
        <row r="816">
          <cell r="B816" t="str">
            <v>570-320-170</v>
          </cell>
          <cell r="C816" t="str">
            <v>Expenditure</v>
          </cell>
          <cell r="D816" t="str">
            <v>R&amp;C - Utility - Water - Parks, CG &amp; SG</v>
          </cell>
          <cell r="E816" t="str">
            <v>2022</v>
          </cell>
          <cell r="F816">
            <v>0</v>
          </cell>
          <cell r="G816">
            <v>0</v>
          </cell>
          <cell r="H816">
            <v>0</v>
          </cell>
          <cell r="I816">
            <v>44926</v>
          </cell>
          <cell r="J816">
            <v>0</v>
          </cell>
          <cell r="K816">
            <v>0</v>
          </cell>
        </row>
        <row r="817">
          <cell r="B817" t="str">
            <v>570-330-110</v>
          </cell>
          <cell r="C817" t="str">
            <v>Expenditure</v>
          </cell>
          <cell r="D817" t="str">
            <v>R&amp;C - Utility - Telephone - Rec Centre</v>
          </cell>
          <cell r="E817" t="str">
            <v>2022</v>
          </cell>
          <cell r="F817">
            <v>2748.59</v>
          </cell>
          <cell r="G817">
            <v>2748.59</v>
          </cell>
          <cell r="H817">
            <v>3791.38</v>
          </cell>
          <cell r="I817">
            <v>44926</v>
          </cell>
          <cell r="J817">
            <v>2842.37</v>
          </cell>
          <cell r="K817">
            <v>1717.38</v>
          </cell>
        </row>
        <row r="818">
          <cell r="B818" t="str">
            <v>570-330-130</v>
          </cell>
          <cell r="C818" t="str">
            <v>Expenditure</v>
          </cell>
          <cell r="D818" t="str">
            <v>R&amp;C - Utility - Telephone - Swim Pool</v>
          </cell>
          <cell r="E818" t="str">
            <v>2022</v>
          </cell>
          <cell r="F818">
            <v>457.74</v>
          </cell>
          <cell r="G818">
            <v>457.74</v>
          </cell>
          <cell r="H818">
            <v>592.69000000000005</v>
          </cell>
          <cell r="I818">
            <v>44926</v>
          </cell>
          <cell r="J818">
            <v>337.93</v>
          </cell>
          <cell r="K818">
            <v>447.66</v>
          </cell>
        </row>
        <row r="819">
          <cell r="B819" t="str">
            <v>570-330-160</v>
          </cell>
          <cell r="C819" t="str">
            <v>Expenditure</v>
          </cell>
          <cell r="D819" t="str">
            <v>R&amp;C - Utility - Telephone -Tourist Booth</v>
          </cell>
          <cell r="E819" t="str">
            <v>2022</v>
          </cell>
          <cell r="F819">
            <v>904.53</v>
          </cell>
          <cell r="G819">
            <v>904.53</v>
          </cell>
          <cell r="H819">
            <v>1147.19</v>
          </cell>
          <cell r="I819">
            <v>44926</v>
          </cell>
          <cell r="J819">
            <v>325.94</v>
          </cell>
          <cell r="K819">
            <v>1176.45</v>
          </cell>
        </row>
        <row r="820">
          <cell r="B820" t="str">
            <v>570-340-110</v>
          </cell>
          <cell r="C820" t="str">
            <v>Expenditure</v>
          </cell>
          <cell r="D820" t="str">
            <v>R&amp;C - Utility - Garbage/Recycling - Rink</v>
          </cell>
          <cell r="E820" t="str">
            <v>2022</v>
          </cell>
          <cell r="F820">
            <v>233.95</v>
          </cell>
          <cell r="G820">
            <v>233.95</v>
          </cell>
          <cell r="H820">
            <v>654.74</v>
          </cell>
          <cell r="I820">
            <v>44926</v>
          </cell>
          <cell r="J820">
            <v>1300.1300000000001</v>
          </cell>
          <cell r="K820">
            <v>1552.41</v>
          </cell>
        </row>
        <row r="821">
          <cell r="B821" t="str">
            <v>570-340-120</v>
          </cell>
          <cell r="C821" t="str">
            <v>Expenditure</v>
          </cell>
          <cell r="D821" t="str">
            <v>R&amp;C - Utility - Satellite TV  Rec Centre</v>
          </cell>
          <cell r="E821" t="str">
            <v>2022</v>
          </cell>
          <cell r="F821">
            <v>751.97</v>
          </cell>
          <cell r="G821">
            <v>751.97</v>
          </cell>
          <cell r="H821">
            <v>432.56</v>
          </cell>
          <cell r="I821">
            <v>44926</v>
          </cell>
          <cell r="J821">
            <v>335.71</v>
          </cell>
          <cell r="K821">
            <v>280.58</v>
          </cell>
        </row>
        <row r="822">
          <cell r="B822" t="str">
            <v>570-400-100</v>
          </cell>
          <cell r="C822" t="str">
            <v>Expenditure</v>
          </cell>
          <cell r="D822" t="str">
            <v>R&amp;C - MAINT. MATERIAL AND SUPPLIES</v>
          </cell>
          <cell r="E822" t="str">
            <v>2022</v>
          </cell>
          <cell r="F822">
            <v>0</v>
          </cell>
          <cell r="G822">
            <v>0</v>
          </cell>
          <cell r="H822">
            <v>0</v>
          </cell>
          <cell r="I822">
            <v>44926</v>
          </cell>
          <cell r="J822">
            <v>0</v>
          </cell>
          <cell r="K822">
            <v>0</v>
          </cell>
        </row>
        <row r="823">
          <cell r="B823" t="str">
            <v>570-400-110</v>
          </cell>
          <cell r="C823" t="str">
            <v>Expenditure</v>
          </cell>
          <cell r="D823" t="str">
            <v>R&amp;C - Postage - Rec Centre</v>
          </cell>
          <cell r="E823" t="str">
            <v>2022</v>
          </cell>
          <cell r="F823">
            <v>1750</v>
          </cell>
          <cell r="G823">
            <v>1750</v>
          </cell>
          <cell r="H823">
            <v>3000</v>
          </cell>
          <cell r="I823">
            <v>44926</v>
          </cell>
          <cell r="J823">
            <v>3000</v>
          </cell>
          <cell r="K823">
            <v>1500</v>
          </cell>
        </row>
        <row r="824">
          <cell r="B824" t="str">
            <v>570-410-100</v>
          </cell>
          <cell r="C824" t="str">
            <v>Expenditure</v>
          </cell>
          <cell r="D824" t="str">
            <v>R&amp;C - Office Supplies</v>
          </cell>
          <cell r="E824" t="str">
            <v>2022</v>
          </cell>
          <cell r="F824">
            <v>2041.62</v>
          </cell>
          <cell r="G824">
            <v>2041.62</v>
          </cell>
          <cell r="H824">
            <v>3500</v>
          </cell>
          <cell r="I824">
            <v>44926</v>
          </cell>
          <cell r="J824">
            <v>3610.71</v>
          </cell>
          <cell r="K824">
            <v>3374</v>
          </cell>
        </row>
        <row r="825">
          <cell r="B825" t="str">
            <v>570-410-160</v>
          </cell>
          <cell r="C825" t="str">
            <v>Expenditure</v>
          </cell>
          <cell r="D825" t="str">
            <v>R&amp;C - Discretionary Fund</v>
          </cell>
          <cell r="E825" t="str">
            <v>2022</v>
          </cell>
          <cell r="F825">
            <v>223.49</v>
          </cell>
          <cell r="G825">
            <v>223.49</v>
          </cell>
          <cell r="H825">
            <v>1765.49</v>
          </cell>
          <cell r="I825">
            <v>44926</v>
          </cell>
          <cell r="J825">
            <v>0</v>
          </cell>
        </row>
        <row r="826">
          <cell r="B826" t="str">
            <v>570-420-110</v>
          </cell>
          <cell r="C826" t="str">
            <v>Expenditure</v>
          </cell>
          <cell r="D826" t="str">
            <v>R&amp;C - Office Supplies - Rec Centre</v>
          </cell>
          <cell r="E826" t="str">
            <v>2022</v>
          </cell>
          <cell r="F826">
            <v>1949.64</v>
          </cell>
          <cell r="G826">
            <v>1949.64</v>
          </cell>
          <cell r="H826">
            <v>3000</v>
          </cell>
          <cell r="I826">
            <v>44926</v>
          </cell>
          <cell r="J826">
            <v>3110.13</v>
          </cell>
          <cell r="K826">
            <v>1520</v>
          </cell>
        </row>
        <row r="827">
          <cell r="B827" t="str">
            <v>570-420-115</v>
          </cell>
          <cell r="C827" t="str">
            <v>Expenditure</v>
          </cell>
          <cell r="D827" t="str">
            <v>R&amp;C - Office Supplies - Pool</v>
          </cell>
          <cell r="E827" t="str">
            <v>2022</v>
          </cell>
          <cell r="F827">
            <v>963.27</v>
          </cell>
          <cell r="G827">
            <v>963.27</v>
          </cell>
          <cell r="H827">
            <v>1455.19</v>
          </cell>
          <cell r="I827">
            <v>44926</v>
          </cell>
          <cell r="J827">
            <v>1013.55</v>
          </cell>
          <cell r="K827">
            <v>1506</v>
          </cell>
        </row>
        <row r="828">
          <cell r="B828" t="str">
            <v>570-420-120</v>
          </cell>
          <cell r="C828" t="str">
            <v>Expenditure</v>
          </cell>
          <cell r="D828" t="str">
            <v>R&amp;C - Supplies - Alcohol/Mix/Confectnry</v>
          </cell>
          <cell r="E828" t="str">
            <v>2022</v>
          </cell>
          <cell r="F828">
            <v>12715.58</v>
          </cell>
          <cell r="G828">
            <v>12715.58</v>
          </cell>
          <cell r="H828">
            <v>5839.65</v>
          </cell>
          <cell r="I828">
            <v>44926</v>
          </cell>
          <cell r="J828">
            <v>11393.53</v>
          </cell>
          <cell r="K828">
            <v>6659.17</v>
          </cell>
        </row>
        <row r="829">
          <cell r="B829" t="str">
            <v>570-420-125</v>
          </cell>
          <cell r="C829" t="str">
            <v>Expenditure</v>
          </cell>
          <cell r="D829" t="str">
            <v>R&amp;C - Supplies (includes fuel) - Rink</v>
          </cell>
          <cell r="E829" t="str">
            <v>2022</v>
          </cell>
          <cell r="F829">
            <v>182.54</v>
          </cell>
          <cell r="G829">
            <v>182.54</v>
          </cell>
          <cell r="H829">
            <v>113.37</v>
          </cell>
          <cell r="I829">
            <v>44926</v>
          </cell>
          <cell r="J829">
            <v>918.61</v>
          </cell>
          <cell r="K829">
            <v>1960.53</v>
          </cell>
        </row>
        <row r="830">
          <cell r="B830" t="str">
            <v>570-420-130</v>
          </cell>
          <cell r="C830" t="str">
            <v>Expenditure</v>
          </cell>
          <cell r="D830" t="str">
            <v>R&amp;C - Supplies - Swimming Pool</v>
          </cell>
          <cell r="E830" t="str">
            <v>2022</v>
          </cell>
          <cell r="F830">
            <v>3964.83</v>
          </cell>
          <cell r="G830">
            <v>3964.83</v>
          </cell>
          <cell r="H830">
            <v>7029.03</v>
          </cell>
          <cell r="I830">
            <v>44926</v>
          </cell>
          <cell r="J830">
            <v>3943.6</v>
          </cell>
          <cell r="K830">
            <v>3995.6</v>
          </cell>
        </row>
        <row r="831">
          <cell r="B831" t="str">
            <v>570-420-132</v>
          </cell>
          <cell r="C831" t="str">
            <v>Expenditure</v>
          </cell>
          <cell r="D831" t="str">
            <v>R&amp;C - Supplies - Chemicals - Pool</v>
          </cell>
          <cell r="E831" t="str">
            <v>2022</v>
          </cell>
          <cell r="F831">
            <v>4559.53</v>
          </cell>
          <cell r="G831">
            <v>4559.53</v>
          </cell>
          <cell r="H831">
            <v>5353.88</v>
          </cell>
          <cell r="I831">
            <v>44926</v>
          </cell>
        </row>
        <row r="832">
          <cell r="B832" t="str">
            <v>570-420-135</v>
          </cell>
          <cell r="C832" t="str">
            <v>Expenditure</v>
          </cell>
          <cell r="D832" t="str">
            <v>R&amp;C - Supplies - Canteen Exp</v>
          </cell>
          <cell r="E832" t="str">
            <v>2022</v>
          </cell>
          <cell r="F832">
            <v>0</v>
          </cell>
          <cell r="G832">
            <v>0</v>
          </cell>
          <cell r="H832">
            <v>0</v>
          </cell>
          <cell r="I832">
            <v>44926</v>
          </cell>
          <cell r="J832">
            <v>12290.08</v>
          </cell>
          <cell r="K832">
            <v>21600.62</v>
          </cell>
        </row>
        <row r="833">
          <cell r="B833" t="str">
            <v>570-420-137</v>
          </cell>
          <cell r="C833" t="str">
            <v>Expenditure</v>
          </cell>
          <cell r="D833" t="str">
            <v>R&amp;C - Over/Short</v>
          </cell>
          <cell r="E833" t="str">
            <v>2022</v>
          </cell>
          <cell r="F833">
            <v>0</v>
          </cell>
          <cell r="G833">
            <v>0</v>
          </cell>
          <cell r="H833">
            <v>-33.47</v>
          </cell>
          <cell r="I833">
            <v>44926</v>
          </cell>
          <cell r="J833">
            <v>-39.93</v>
          </cell>
          <cell r="K833">
            <v>416.74</v>
          </cell>
        </row>
        <row r="834">
          <cell r="B834" t="str">
            <v>570-420-140</v>
          </cell>
          <cell r="C834" t="str">
            <v>Expenditure</v>
          </cell>
          <cell r="D834" t="str">
            <v>R&amp;C - Supplies - Theatre</v>
          </cell>
          <cell r="E834" t="str">
            <v>2022</v>
          </cell>
          <cell r="F834">
            <v>0</v>
          </cell>
          <cell r="G834">
            <v>0</v>
          </cell>
          <cell r="H834">
            <v>0</v>
          </cell>
          <cell r="I834">
            <v>44926</v>
          </cell>
          <cell r="J834">
            <v>1333.23</v>
          </cell>
          <cell r="K834">
            <v>14.83</v>
          </cell>
        </row>
        <row r="835">
          <cell r="B835" t="str">
            <v>570-420-145</v>
          </cell>
          <cell r="C835" t="str">
            <v>Expenditure</v>
          </cell>
          <cell r="D835" t="str">
            <v>R&amp;C - Supplies (includes fuel/oil) Parks</v>
          </cell>
          <cell r="E835" t="str">
            <v>2022</v>
          </cell>
          <cell r="F835">
            <v>2505.4499999999998</v>
          </cell>
          <cell r="G835">
            <v>2505.4499999999998</v>
          </cell>
          <cell r="H835">
            <v>8283.69</v>
          </cell>
          <cell r="I835">
            <v>44926</v>
          </cell>
          <cell r="J835">
            <v>4221.91</v>
          </cell>
          <cell r="K835">
            <v>5533.2</v>
          </cell>
        </row>
        <row r="836">
          <cell r="B836" t="str">
            <v>570-420-150</v>
          </cell>
          <cell r="C836" t="str">
            <v>Expenditure</v>
          </cell>
          <cell r="D836" t="str">
            <v>R&amp;C - Supplies - Hall</v>
          </cell>
          <cell r="E836" t="str">
            <v>2022</v>
          </cell>
          <cell r="F836">
            <v>404.88</v>
          </cell>
          <cell r="G836">
            <v>404.88</v>
          </cell>
          <cell r="H836">
            <v>0</v>
          </cell>
          <cell r="I836">
            <v>44926</v>
          </cell>
          <cell r="J836">
            <v>0</v>
          </cell>
          <cell r="K836">
            <v>0</v>
          </cell>
        </row>
        <row r="837">
          <cell r="B837" t="str">
            <v>570-420-155</v>
          </cell>
          <cell r="C837" t="str">
            <v>Expenditure</v>
          </cell>
          <cell r="D837" t="str">
            <v>R&amp;C - Supplies - Rink - Signs for advert</v>
          </cell>
          <cell r="E837" t="str">
            <v>2022</v>
          </cell>
          <cell r="F837">
            <v>0</v>
          </cell>
          <cell r="G837">
            <v>0</v>
          </cell>
          <cell r="H837">
            <v>0</v>
          </cell>
          <cell r="I837">
            <v>44926</v>
          </cell>
          <cell r="J837">
            <v>1775.51</v>
          </cell>
          <cell r="K837">
            <v>255.73</v>
          </cell>
        </row>
        <row r="838">
          <cell r="B838" t="str">
            <v>570-420-160</v>
          </cell>
          <cell r="C838" t="str">
            <v>Expenditure</v>
          </cell>
          <cell r="D838" t="str">
            <v>R&amp;C - Supplies - Field of Dreams Inputs</v>
          </cell>
          <cell r="E838" t="str">
            <v>2022</v>
          </cell>
          <cell r="F838">
            <v>20928.990000000002</v>
          </cell>
          <cell r="G838">
            <v>20928.990000000002</v>
          </cell>
          <cell r="H838">
            <v>14580.58</v>
          </cell>
          <cell r="I838">
            <v>44926</v>
          </cell>
          <cell r="J838">
            <v>11180.71</v>
          </cell>
          <cell r="K838">
            <v>0</v>
          </cell>
        </row>
        <row r="839">
          <cell r="B839" t="str">
            <v>570-420-185</v>
          </cell>
          <cell r="C839" t="str">
            <v>Expenditure</v>
          </cell>
          <cell r="D839" t="str">
            <v>R&amp;C - General Programming  - Other</v>
          </cell>
          <cell r="E839" t="str">
            <v>2022</v>
          </cell>
          <cell r="F839">
            <v>2585.42</v>
          </cell>
          <cell r="G839">
            <v>2585.42</v>
          </cell>
          <cell r="H839">
            <v>4691.12</v>
          </cell>
          <cell r="I839">
            <v>44926</v>
          </cell>
          <cell r="J839">
            <v>0</v>
          </cell>
        </row>
        <row r="840">
          <cell r="B840" t="str">
            <v>570-420-190</v>
          </cell>
          <cell r="C840" t="str">
            <v>Expenditure</v>
          </cell>
          <cell r="D840" t="str">
            <v>R&amp;C - Program Supplies - Rec Director</v>
          </cell>
          <cell r="E840" t="str">
            <v>2022</v>
          </cell>
          <cell r="F840">
            <v>0</v>
          </cell>
          <cell r="G840">
            <v>0</v>
          </cell>
          <cell r="H840">
            <v>453.69</v>
          </cell>
          <cell r="I840">
            <v>44926</v>
          </cell>
          <cell r="J840">
            <v>209.79</v>
          </cell>
          <cell r="K840">
            <v>514.22</v>
          </cell>
        </row>
        <row r="841">
          <cell r="B841" t="str">
            <v>570-420-195</v>
          </cell>
          <cell r="C841" t="str">
            <v>Expenditure</v>
          </cell>
          <cell r="D841" t="str">
            <v>R&amp;C - Program Supplies - Playground Prog</v>
          </cell>
          <cell r="E841" t="str">
            <v>2022</v>
          </cell>
          <cell r="F841">
            <v>282.63</v>
          </cell>
          <cell r="G841">
            <v>282.63</v>
          </cell>
          <cell r="H841">
            <v>842.07</v>
          </cell>
          <cell r="I841">
            <v>44926</v>
          </cell>
          <cell r="J841">
            <v>3366.71</v>
          </cell>
          <cell r="K841">
            <v>3013.77</v>
          </cell>
        </row>
        <row r="842">
          <cell r="B842" t="str">
            <v>570-430-110</v>
          </cell>
          <cell r="C842" t="str">
            <v>Expenditure</v>
          </cell>
          <cell r="D842" t="str">
            <v>R&amp;C - Bldg Maint/Supply - Rec Centre</v>
          </cell>
          <cell r="E842" t="str">
            <v>2022</v>
          </cell>
          <cell r="F842">
            <v>11672.55</v>
          </cell>
          <cell r="G842">
            <v>11672.55</v>
          </cell>
          <cell r="H842">
            <v>28450.080000000002</v>
          </cell>
          <cell r="I842">
            <v>44926</v>
          </cell>
          <cell r="J842">
            <v>55655.08</v>
          </cell>
          <cell r="K842">
            <v>53963.58</v>
          </cell>
        </row>
        <row r="843">
          <cell r="B843" t="str">
            <v>570-430-120</v>
          </cell>
          <cell r="C843" t="str">
            <v>Expenditure</v>
          </cell>
          <cell r="D843" t="str">
            <v>R&amp;C - Bldg Mat/Supply - Curling Rink</v>
          </cell>
          <cell r="E843" t="str">
            <v>2022</v>
          </cell>
          <cell r="F843">
            <v>0</v>
          </cell>
          <cell r="G843">
            <v>0</v>
          </cell>
          <cell r="H843">
            <v>0</v>
          </cell>
          <cell r="I843">
            <v>44926</v>
          </cell>
          <cell r="J843">
            <v>0</v>
          </cell>
          <cell r="K843">
            <v>0</v>
          </cell>
        </row>
        <row r="844">
          <cell r="B844" t="str">
            <v>570-430-130</v>
          </cell>
          <cell r="C844" t="str">
            <v>Expenditure</v>
          </cell>
          <cell r="D844" t="str">
            <v>R&amp;C - Bldg Mat/Supply - Swimming Pool</v>
          </cell>
          <cell r="E844" t="str">
            <v>2022</v>
          </cell>
          <cell r="F844">
            <v>6870.58</v>
          </cell>
          <cell r="G844">
            <v>6870.58</v>
          </cell>
          <cell r="H844">
            <v>5330.76</v>
          </cell>
          <cell r="I844">
            <v>44926</v>
          </cell>
          <cell r="J844">
            <v>12670.78</v>
          </cell>
          <cell r="K844">
            <v>15823.48</v>
          </cell>
        </row>
        <row r="845">
          <cell r="B845" t="str">
            <v>570-430-135</v>
          </cell>
          <cell r="C845" t="str">
            <v>Expenditure</v>
          </cell>
          <cell r="D845" t="str">
            <v>R&amp;C - Small Tools &amp; Equip. - Parks/CG/SG</v>
          </cell>
          <cell r="E845" t="str">
            <v>2022</v>
          </cell>
          <cell r="F845">
            <v>4659.6099999999997</v>
          </cell>
          <cell r="G845">
            <v>4659.6099999999997</v>
          </cell>
          <cell r="H845">
            <v>7909.96</v>
          </cell>
          <cell r="I845">
            <v>44926</v>
          </cell>
          <cell r="J845">
            <v>627.17999999999995</v>
          </cell>
          <cell r="K845">
            <v>300.06</v>
          </cell>
        </row>
        <row r="846">
          <cell r="B846" t="str">
            <v>570-430-140</v>
          </cell>
          <cell r="C846" t="str">
            <v>Expenditure</v>
          </cell>
          <cell r="D846" t="str">
            <v>R&amp;C - Bldg Mat/Supply - Theatre</v>
          </cell>
          <cell r="E846" t="str">
            <v>2022</v>
          </cell>
          <cell r="F846">
            <v>60.16</v>
          </cell>
          <cell r="G846">
            <v>60.16</v>
          </cell>
          <cell r="H846">
            <v>1340.48</v>
          </cell>
          <cell r="I846">
            <v>44926</v>
          </cell>
          <cell r="J846">
            <v>0</v>
          </cell>
          <cell r="K846">
            <v>3150.79</v>
          </cell>
        </row>
        <row r="847">
          <cell r="B847" t="str">
            <v>570-430-150</v>
          </cell>
          <cell r="C847" t="str">
            <v>Expenditure</v>
          </cell>
          <cell r="D847" t="str">
            <v>R&amp;C - Bldg Mat/Supply - Hall</v>
          </cell>
          <cell r="E847" t="str">
            <v>2022</v>
          </cell>
          <cell r="F847">
            <v>3908.82</v>
          </cell>
          <cell r="G847">
            <v>3908.82</v>
          </cell>
          <cell r="H847">
            <v>4365.62</v>
          </cell>
          <cell r="I847">
            <v>44926</v>
          </cell>
          <cell r="J847">
            <v>1199.21</v>
          </cell>
          <cell r="K847">
            <v>9214.4500000000007</v>
          </cell>
        </row>
        <row r="848">
          <cell r="B848" t="str">
            <v>570-430-170</v>
          </cell>
          <cell r="C848" t="str">
            <v>Expenditure</v>
          </cell>
          <cell r="D848" t="str">
            <v>R&amp;C - Bldg Mat/Supply - Parks/CG/SG</v>
          </cell>
          <cell r="E848" t="str">
            <v>2022</v>
          </cell>
          <cell r="F848">
            <v>3591.51</v>
          </cell>
          <cell r="G848">
            <v>3591.51</v>
          </cell>
          <cell r="H848">
            <v>39.99</v>
          </cell>
          <cell r="I848">
            <v>44926</v>
          </cell>
          <cell r="J848">
            <v>321.3</v>
          </cell>
          <cell r="K848">
            <v>1019.35</v>
          </cell>
        </row>
        <row r="849">
          <cell r="B849" t="str">
            <v>570-430-190</v>
          </cell>
          <cell r="C849" t="str">
            <v>Expenditure</v>
          </cell>
          <cell r="D849" t="str">
            <v>R&amp;C - Small Tools &amp; Equipment - Rink</v>
          </cell>
          <cell r="E849" t="str">
            <v>2022</v>
          </cell>
          <cell r="F849">
            <v>1087.77</v>
          </cell>
          <cell r="G849">
            <v>1087.77</v>
          </cell>
          <cell r="H849">
            <v>5959.25</v>
          </cell>
          <cell r="I849">
            <v>44926</v>
          </cell>
          <cell r="J849">
            <v>3984.27</v>
          </cell>
          <cell r="K849">
            <v>343.17</v>
          </cell>
        </row>
        <row r="850">
          <cell r="B850" t="str">
            <v>570-500-100</v>
          </cell>
          <cell r="C850" t="str">
            <v>Expenditure</v>
          </cell>
          <cell r="D850" t="str">
            <v>R&amp;C - GRANTS AND CONTRIBUTIONS</v>
          </cell>
          <cell r="E850" t="str">
            <v>2022</v>
          </cell>
          <cell r="F850">
            <v>0</v>
          </cell>
          <cell r="G850">
            <v>0</v>
          </cell>
          <cell r="H850">
            <v>0</v>
          </cell>
          <cell r="I850">
            <v>44926</v>
          </cell>
          <cell r="J850">
            <v>0</v>
          </cell>
          <cell r="K850">
            <v>0</v>
          </cell>
        </row>
        <row r="851">
          <cell r="B851" t="str">
            <v>570-500-110</v>
          </cell>
          <cell r="C851" t="str">
            <v>Expenditure</v>
          </cell>
          <cell r="D851" t="str">
            <v>R&amp;C - Grants and Contributions - Lottery</v>
          </cell>
          <cell r="E851" t="str">
            <v>2022</v>
          </cell>
          <cell r="F851">
            <v>2400</v>
          </cell>
          <cell r="G851">
            <v>2400</v>
          </cell>
          <cell r="H851">
            <v>18245</v>
          </cell>
          <cell r="I851">
            <v>44926</v>
          </cell>
          <cell r="J851">
            <v>10000</v>
          </cell>
          <cell r="K851">
            <v>12797.86</v>
          </cell>
        </row>
        <row r="852">
          <cell r="B852" t="str">
            <v>570-500-120</v>
          </cell>
          <cell r="C852" t="str">
            <v>Expenditure</v>
          </cell>
          <cell r="D852" t="str">
            <v>R&amp;C - Grants - Parks</v>
          </cell>
          <cell r="E852" t="str">
            <v>2022</v>
          </cell>
          <cell r="F852">
            <v>0</v>
          </cell>
          <cell r="G852">
            <v>0</v>
          </cell>
          <cell r="H852">
            <v>0</v>
          </cell>
          <cell r="I852">
            <v>44926</v>
          </cell>
          <cell r="J852">
            <v>0</v>
          </cell>
          <cell r="K852">
            <v>0</v>
          </cell>
        </row>
        <row r="853">
          <cell r="B853" t="str">
            <v>570-500-125</v>
          </cell>
          <cell r="C853" t="str">
            <v>Expenditure</v>
          </cell>
          <cell r="D853" t="str">
            <v>R&amp;C - Grants &amp; Contributions - Rec Cent</v>
          </cell>
          <cell r="E853" t="str">
            <v>2022</v>
          </cell>
          <cell r="F853">
            <v>0</v>
          </cell>
          <cell r="G853">
            <v>0</v>
          </cell>
          <cell r="H853">
            <v>20636.150000000001</v>
          </cell>
          <cell r="I853">
            <v>44926</v>
          </cell>
          <cell r="J853">
            <v>112398.48</v>
          </cell>
          <cell r="K853">
            <v>91501.58</v>
          </cell>
        </row>
        <row r="854">
          <cell r="B854" t="str">
            <v>570-500-130</v>
          </cell>
          <cell r="C854" t="str">
            <v>Expenditure</v>
          </cell>
          <cell r="D854" t="str">
            <v>R&amp;C - Grants - Library/Museum</v>
          </cell>
          <cell r="E854" t="str">
            <v>2022</v>
          </cell>
          <cell r="F854">
            <v>0</v>
          </cell>
          <cell r="G854">
            <v>0</v>
          </cell>
          <cell r="H854">
            <v>0</v>
          </cell>
          <cell r="I854">
            <v>44926</v>
          </cell>
          <cell r="J854">
            <v>0</v>
          </cell>
          <cell r="K854">
            <v>0</v>
          </cell>
        </row>
        <row r="855">
          <cell r="B855" t="str">
            <v>570-600-100</v>
          </cell>
          <cell r="C855" t="str">
            <v>Expenditure</v>
          </cell>
          <cell r="D855" t="str">
            <v>R&amp;C - CAPITAL EXPENDITURES</v>
          </cell>
          <cell r="E855" t="str">
            <v>2022</v>
          </cell>
          <cell r="F855">
            <v>0</v>
          </cell>
          <cell r="G855">
            <v>0</v>
          </cell>
          <cell r="H855">
            <v>0</v>
          </cell>
          <cell r="I855">
            <v>44926</v>
          </cell>
          <cell r="J855">
            <v>0</v>
          </cell>
          <cell r="K855">
            <v>0</v>
          </cell>
        </row>
        <row r="856">
          <cell r="B856" t="str">
            <v>570-600-110</v>
          </cell>
          <cell r="C856" t="str">
            <v>Expenditure</v>
          </cell>
          <cell r="D856" t="str">
            <v>R&amp;C - Purchase of Cap Assets - Rec Cnrt</v>
          </cell>
          <cell r="E856" t="str">
            <v>2022</v>
          </cell>
          <cell r="F856">
            <v>200</v>
          </cell>
          <cell r="G856">
            <v>200</v>
          </cell>
          <cell r="H856">
            <v>0.06</v>
          </cell>
          <cell r="I856">
            <v>44926</v>
          </cell>
          <cell r="J856">
            <v>0</v>
          </cell>
          <cell r="K856">
            <v>0</v>
          </cell>
        </row>
        <row r="857">
          <cell r="B857" t="str">
            <v>570-600-120</v>
          </cell>
          <cell r="C857" t="str">
            <v>Expenditure</v>
          </cell>
          <cell r="D857" t="str">
            <v>R&amp;C - Purchase of Cap Assets - Pool</v>
          </cell>
          <cell r="E857" t="str">
            <v>2022</v>
          </cell>
          <cell r="F857">
            <v>30849.5</v>
          </cell>
          <cell r="G857">
            <v>30849.5</v>
          </cell>
          <cell r="H857">
            <v>0</v>
          </cell>
          <cell r="I857">
            <v>44926</v>
          </cell>
          <cell r="J857">
            <v>0</v>
          </cell>
          <cell r="K857">
            <v>0</v>
          </cell>
        </row>
        <row r="858">
          <cell r="B858" t="str">
            <v>570-600-140</v>
          </cell>
          <cell r="C858" t="str">
            <v>Expenditure</v>
          </cell>
          <cell r="D858" t="str">
            <v>R&amp;C - Purchase of Cap Assets - Parks</v>
          </cell>
          <cell r="E858" t="str">
            <v>2022</v>
          </cell>
          <cell r="F858">
            <v>0</v>
          </cell>
          <cell r="G858">
            <v>0</v>
          </cell>
          <cell r="H858">
            <v>0</v>
          </cell>
          <cell r="I858">
            <v>44926</v>
          </cell>
          <cell r="J858">
            <v>0</v>
          </cell>
          <cell r="K858">
            <v>0</v>
          </cell>
        </row>
        <row r="859">
          <cell r="B859" t="str">
            <v>570-600-585</v>
          </cell>
          <cell r="C859" t="str">
            <v>Expenditure</v>
          </cell>
          <cell r="D859" t="str">
            <v>R&amp;C - Amortization Expense - RD</v>
          </cell>
          <cell r="E859" t="str">
            <v>2022</v>
          </cell>
          <cell r="F859">
            <v>0</v>
          </cell>
          <cell r="G859">
            <v>0</v>
          </cell>
          <cell r="H859">
            <v>28527.360000000001</v>
          </cell>
          <cell r="I859">
            <v>44926</v>
          </cell>
          <cell r="J859">
            <v>0</v>
          </cell>
          <cell r="K859">
            <v>15533</v>
          </cell>
        </row>
        <row r="860">
          <cell r="B860" t="str">
            <v>570-700-100</v>
          </cell>
          <cell r="C860" t="str">
            <v>Expenditure</v>
          </cell>
          <cell r="D860" t="str">
            <v>R&amp;C - INTEREST</v>
          </cell>
          <cell r="E860" t="str">
            <v>2022</v>
          </cell>
          <cell r="F860">
            <v>0</v>
          </cell>
          <cell r="G860">
            <v>0</v>
          </cell>
          <cell r="H860">
            <v>0</v>
          </cell>
          <cell r="I860">
            <v>44926</v>
          </cell>
          <cell r="J860">
            <v>0</v>
          </cell>
          <cell r="K860">
            <v>0</v>
          </cell>
        </row>
        <row r="861">
          <cell r="B861" t="str">
            <v>570-700-105</v>
          </cell>
          <cell r="C861" t="str">
            <v>Expenditure</v>
          </cell>
          <cell r="D861" t="str">
            <v>R&amp;C - Amortization Expense-Rec Cntr</v>
          </cell>
          <cell r="E861" t="str">
            <v>2022</v>
          </cell>
          <cell r="F861">
            <v>0</v>
          </cell>
          <cell r="G861">
            <v>0</v>
          </cell>
          <cell r="H861">
            <v>0</v>
          </cell>
          <cell r="I861">
            <v>44926</v>
          </cell>
          <cell r="J861">
            <v>20324.84</v>
          </cell>
        </row>
        <row r="862">
          <cell r="B862" t="str">
            <v>570-700-110</v>
          </cell>
          <cell r="C862" t="str">
            <v>Expenditure</v>
          </cell>
          <cell r="D862" t="str">
            <v>R&amp;C - Interest &amp; Bank Charges - Rink</v>
          </cell>
          <cell r="E862" t="str">
            <v>2022</v>
          </cell>
          <cell r="F862">
            <v>432.11</v>
          </cell>
          <cell r="G862">
            <v>432.11</v>
          </cell>
          <cell r="H862">
            <v>282.70999999999998</v>
          </cell>
          <cell r="I862">
            <v>44926</v>
          </cell>
          <cell r="J862">
            <v>266.56</v>
          </cell>
          <cell r="K862">
            <v>583.12</v>
          </cell>
        </row>
        <row r="863">
          <cell r="B863" t="str">
            <v>570-700-130</v>
          </cell>
          <cell r="C863" t="str">
            <v>Expenditure</v>
          </cell>
          <cell r="D863" t="str">
            <v>R&amp;C - Interest &amp; Bank Charges - Pool</v>
          </cell>
          <cell r="E863" t="str">
            <v>2022</v>
          </cell>
          <cell r="F863">
            <v>365.05</v>
          </cell>
          <cell r="G863">
            <v>365.05</v>
          </cell>
          <cell r="H863">
            <v>388.41</v>
          </cell>
          <cell r="I863">
            <v>44926</v>
          </cell>
          <cell r="J863">
            <v>290.95999999999998</v>
          </cell>
          <cell r="K863">
            <v>102.77</v>
          </cell>
        </row>
        <row r="864">
          <cell r="B864" t="str">
            <v>570-800-100</v>
          </cell>
          <cell r="C864" t="str">
            <v>Expenditure</v>
          </cell>
          <cell r="D864" t="str">
            <v>R&amp;C - ALLOWANCE FOR UNCOLLECTIBLES</v>
          </cell>
          <cell r="E864" t="str">
            <v>2022</v>
          </cell>
          <cell r="F864">
            <v>0</v>
          </cell>
          <cell r="G864">
            <v>0</v>
          </cell>
          <cell r="H864">
            <v>0</v>
          </cell>
          <cell r="I864">
            <v>44926</v>
          </cell>
          <cell r="J864">
            <v>0</v>
          </cell>
          <cell r="K864">
            <v>0</v>
          </cell>
        </row>
        <row r="865">
          <cell r="B865" t="str">
            <v>570-800-110</v>
          </cell>
          <cell r="C865" t="str">
            <v>Expenditure</v>
          </cell>
          <cell r="D865" t="str">
            <v>R&amp;C - Allowance for Uncollectibles</v>
          </cell>
          <cell r="E865" t="str">
            <v>2022</v>
          </cell>
          <cell r="F865">
            <v>0</v>
          </cell>
          <cell r="G865">
            <v>0</v>
          </cell>
          <cell r="H865">
            <v>0</v>
          </cell>
          <cell r="I865">
            <v>44926</v>
          </cell>
          <cell r="J865">
            <v>0</v>
          </cell>
          <cell r="K865">
            <v>0</v>
          </cell>
        </row>
        <row r="866">
          <cell r="B866" t="str">
            <v>570-900-100</v>
          </cell>
          <cell r="C866" t="str">
            <v>Expenditure</v>
          </cell>
          <cell r="D866" t="str">
            <v>R&amp;C - OTHER</v>
          </cell>
          <cell r="E866" t="str">
            <v>2022</v>
          </cell>
          <cell r="F866">
            <v>0</v>
          </cell>
          <cell r="G866">
            <v>0</v>
          </cell>
          <cell r="H866">
            <v>0</v>
          </cell>
          <cell r="I866">
            <v>44926</v>
          </cell>
          <cell r="J866">
            <v>0</v>
          </cell>
          <cell r="K866">
            <v>0</v>
          </cell>
        </row>
        <row r="867">
          <cell r="B867" t="str">
            <v>570-900-110</v>
          </cell>
          <cell r="C867" t="str">
            <v>Expenditure</v>
          </cell>
          <cell r="D867" t="str">
            <v>R&amp;C - Other</v>
          </cell>
          <cell r="E867" t="str">
            <v>2022</v>
          </cell>
          <cell r="F867">
            <v>0</v>
          </cell>
          <cell r="G867">
            <v>0</v>
          </cell>
          <cell r="H867">
            <v>0</v>
          </cell>
          <cell r="I867">
            <v>44926</v>
          </cell>
          <cell r="J867">
            <v>0</v>
          </cell>
          <cell r="K867">
            <v>0</v>
          </cell>
        </row>
        <row r="868">
          <cell r="B868" t="str">
            <v>570-900-125</v>
          </cell>
          <cell r="C868" t="str">
            <v>Expenditure</v>
          </cell>
          <cell r="D868" t="str">
            <v>R&amp;C - Other Contractual Services - Rink</v>
          </cell>
          <cell r="E868" t="str">
            <v>2022</v>
          </cell>
          <cell r="F868">
            <v>1344.44</v>
          </cell>
          <cell r="G868">
            <v>1344.44</v>
          </cell>
          <cell r="H868">
            <v>8890.01</v>
          </cell>
          <cell r="I868">
            <v>44926</v>
          </cell>
          <cell r="J868">
            <v>2721.43</v>
          </cell>
          <cell r="K868">
            <v>5916</v>
          </cell>
        </row>
        <row r="869">
          <cell r="B869" t="str">
            <v>570-900-130</v>
          </cell>
          <cell r="C869" t="str">
            <v>Expenditure</v>
          </cell>
          <cell r="D869" t="str">
            <v>R&amp;C - Contract Services</v>
          </cell>
          <cell r="E869" t="str">
            <v>2022</v>
          </cell>
          <cell r="F869">
            <v>0</v>
          </cell>
          <cell r="G869">
            <v>0</v>
          </cell>
          <cell r="H869">
            <v>0</v>
          </cell>
          <cell r="I869">
            <v>44926</v>
          </cell>
          <cell r="J869">
            <v>0</v>
          </cell>
          <cell r="K869">
            <v>-135.31</v>
          </cell>
        </row>
        <row r="870">
          <cell r="B870" t="str">
            <v>570-900-135</v>
          </cell>
          <cell r="C870" t="str">
            <v>Expenditure</v>
          </cell>
          <cell r="D870" t="str">
            <v>R&amp;C Other Contractual Services - Pool</v>
          </cell>
          <cell r="E870" t="str">
            <v>2022</v>
          </cell>
          <cell r="F870">
            <v>16495</v>
          </cell>
          <cell r="G870">
            <v>16495</v>
          </cell>
          <cell r="H870">
            <v>0</v>
          </cell>
          <cell r="I870">
            <v>44926</v>
          </cell>
        </row>
        <row r="871">
          <cell r="B871" t="str">
            <v>570-900-140</v>
          </cell>
          <cell r="C871" t="str">
            <v>Expenditure</v>
          </cell>
          <cell r="D871" t="str">
            <v>R&amp;C - Other - Rent - School</v>
          </cell>
          <cell r="E871" t="str">
            <v>2022</v>
          </cell>
          <cell r="F871">
            <v>0</v>
          </cell>
          <cell r="G871">
            <v>0</v>
          </cell>
          <cell r="H871">
            <v>0</v>
          </cell>
          <cell r="I871">
            <v>44926</v>
          </cell>
          <cell r="J871">
            <v>0</v>
          </cell>
          <cell r="K871">
            <v>0</v>
          </cell>
        </row>
        <row r="872">
          <cell r="B872" t="str">
            <v>580-100-050</v>
          </cell>
          <cell r="C872" t="str">
            <v>Expenditure</v>
          </cell>
          <cell r="D872" t="str">
            <v>UTILITIES - WATER</v>
          </cell>
          <cell r="E872" t="str">
            <v>2022</v>
          </cell>
          <cell r="F872">
            <v>0</v>
          </cell>
          <cell r="G872">
            <v>0</v>
          </cell>
          <cell r="H872">
            <v>0</v>
          </cell>
          <cell r="I872">
            <v>44926</v>
          </cell>
          <cell r="J872">
            <v>0</v>
          </cell>
          <cell r="K872">
            <v>0</v>
          </cell>
        </row>
        <row r="873">
          <cell r="B873" t="str">
            <v>580-110-070</v>
          </cell>
          <cell r="C873" t="str">
            <v>Expenditure</v>
          </cell>
          <cell r="D873" t="str">
            <v>UT - WATER - WAGES &amp; BENEFITS</v>
          </cell>
          <cell r="E873" t="str">
            <v>2022</v>
          </cell>
          <cell r="F873">
            <v>0</v>
          </cell>
          <cell r="G873">
            <v>0</v>
          </cell>
          <cell r="H873">
            <v>0</v>
          </cell>
          <cell r="I873">
            <v>44926</v>
          </cell>
          <cell r="J873">
            <v>0</v>
          </cell>
          <cell r="K873">
            <v>0</v>
          </cell>
        </row>
        <row r="874">
          <cell r="B874" t="str">
            <v>580-110-110</v>
          </cell>
          <cell r="C874" t="str">
            <v>Expenditure</v>
          </cell>
          <cell r="D874" t="str">
            <v>UT - Water - Salaries</v>
          </cell>
          <cell r="E874" t="str">
            <v>2022</v>
          </cell>
          <cell r="F874">
            <v>30246.49</v>
          </cell>
          <cell r="G874">
            <v>30246.49</v>
          </cell>
          <cell r="H874">
            <v>56682.73</v>
          </cell>
          <cell r="I874">
            <v>44926</v>
          </cell>
          <cell r="J874">
            <v>41701.050000000003</v>
          </cell>
          <cell r="K874">
            <v>51963.83</v>
          </cell>
        </row>
        <row r="875">
          <cell r="B875" t="str">
            <v>580-120-111</v>
          </cell>
          <cell r="C875" t="str">
            <v>Expenditure</v>
          </cell>
          <cell r="D875" t="str">
            <v>UT - Water - Benefits - CPP</v>
          </cell>
          <cell r="E875" t="str">
            <v>2022</v>
          </cell>
          <cell r="F875">
            <v>0</v>
          </cell>
          <cell r="G875">
            <v>0</v>
          </cell>
          <cell r="H875">
            <v>3469.83</v>
          </cell>
          <cell r="I875">
            <v>44926</v>
          </cell>
          <cell r="J875">
            <v>1720.04</v>
          </cell>
          <cell r="K875">
            <v>1287.5899999999999</v>
          </cell>
        </row>
        <row r="876">
          <cell r="B876" t="str">
            <v>580-120-112</v>
          </cell>
          <cell r="C876" t="str">
            <v>Expenditure</v>
          </cell>
          <cell r="D876" t="str">
            <v>UT - Water - Benefits - EI</v>
          </cell>
          <cell r="E876" t="str">
            <v>2022</v>
          </cell>
          <cell r="F876">
            <v>0</v>
          </cell>
          <cell r="G876">
            <v>0</v>
          </cell>
          <cell r="H876">
            <v>1285.1300000000001</v>
          </cell>
          <cell r="I876">
            <v>44926</v>
          </cell>
          <cell r="J876">
            <v>1185.92</v>
          </cell>
          <cell r="K876">
            <v>1777.08</v>
          </cell>
        </row>
        <row r="877">
          <cell r="B877" t="str">
            <v>580-120-113</v>
          </cell>
          <cell r="C877" t="str">
            <v>Expenditure</v>
          </cell>
          <cell r="D877" t="str">
            <v>UT- Water - Benefits - MEPP</v>
          </cell>
          <cell r="E877" t="str">
            <v>2022</v>
          </cell>
          <cell r="F877">
            <v>2665.92</v>
          </cell>
          <cell r="G877">
            <v>2665.92</v>
          </cell>
          <cell r="H877">
            <v>6284.38</v>
          </cell>
          <cell r="I877">
            <v>44926</v>
          </cell>
          <cell r="J877">
            <v>4303.99</v>
          </cell>
          <cell r="K877">
            <v>3810.18</v>
          </cell>
        </row>
        <row r="878">
          <cell r="B878" t="str">
            <v>580-120-114</v>
          </cell>
          <cell r="C878" t="str">
            <v>Expenditure</v>
          </cell>
          <cell r="D878" t="str">
            <v>UT - Water -  Benefits - WCB</v>
          </cell>
          <cell r="E878" t="str">
            <v>2022</v>
          </cell>
          <cell r="F878">
            <v>780.37</v>
          </cell>
          <cell r="G878">
            <v>780.37</v>
          </cell>
          <cell r="H878">
            <v>767.9</v>
          </cell>
          <cell r="I878">
            <v>44926</v>
          </cell>
          <cell r="J878">
            <v>745.67</v>
          </cell>
          <cell r="K878">
            <v>744.45</v>
          </cell>
        </row>
        <row r="879">
          <cell r="B879" t="str">
            <v>580-120-115</v>
          </cell>
          <cell r="C879" t="str">
            <v>Expenditure</v>
          </cell>
          <cell r="D879" t="str">
            <v>UT - Water - Benefits - Group Benefits</v>
          </cell>
          <cell r="E879" t="str">
            <v>2022</v>
          </cell>
          <cell r="F879">
            <v>980.13</v>
          </cell>
          <cell r="G879">
            <v>980.13</v>
          </cell>
          <cell r="H879">
            <v>4135.5</v>
          </cell>
          <cell r="I879">
            <v>44926</v>
          </cell>
          <cell r="J879">
            <v>2916.72</v>
          </cell>
          <cell r="K879">
            <v>2075.36</v>
          </cell>
        </row>
        <row r="880">
          <cell r="B880" t="str">
            <v>580-200-100</v>
          </cell>
          <cell r="C880" t="str">
            <v>Expenditure</v>
          </cell>
          <cell r="D880" t="str">
            <v>UT - WATER - PROF/CONTRACT SERVICES</v>
          </cell>
          <cell r="E880" t="str">
            <v>2022</v>
          </cell>
          <cell r="F880">
            <v>0</v>
          </cell>
          <cell r="G880">
            <v>0</v>
          </cell>
          <cell r="H880">
            <v>0</v>
          </cell>
          <cell r="I880">
            <v>44926</v>
          </cell>
          <cell r="J880">
            <v>0</v>
          </cell>
          <cell r="K880">
            <v>0</v>
          </cell>
        </row>
        <row r="881">
          <cell r="B881" t="str">
            <v>580-210-100</v>
          </cell>
          <cell r="C881" t="str">
            <v>Expenditure</v>
          </cell>
          <cell r="D881" t="str">
            <v>UT - Water - Advertising</v>
          </cell>
          <cell r="E881" t="str">
            <v>2022</v>
          </cell>
          <cell r="F881">
            <v>0</v>
          </cell>
          <cell r="G881">
            <v>0</v>
          </cell>
          <cell r="H881">
            <v>0</v>
          </cell>
          <cell r="I881">
            <v>44926</v>
          </cell>
          <cell r="J881">
            <v>0</v>
          </cell>
          <cell r="K881">
            <v>0</v>
          </cell>
        </row>
        <row r="882">
          <cell r="B882" t="str">
            <v>580-230-100</v>
          </cell>
          <cell r="C882" t="str">
            <v>Expenditure</v>
          </cell>
          <cell r="D882" t="str">
            <v>UT - Water - Travel, Meals &amp; Subsistence</v>
          </cell>
          <cell r="E882" t="str">
            <v>2022</v>
          </cell>
          <cell r="F882">
            <v>0</v>
          </cell>
          <cell r="G882">
            <v>0</v>
          </cell>
          <cell r="H882">
            <v>0</v>
          </cell>
          <cell r="I882">
            <v>44926</v>
          </cell>
          <cell r="J882">
            <v>0</v>
          </cell>
          <cell r="K882">
            <v>0</v>
          </cell>
        </row>
        <row r="883">
          <cell r="B883" t="str">
            <v>580-240-100</v>
          </cell>
          <cell r="C883" t="str">
            <v>Expenditure</v>
          </cell>
          <cell r="D883" t="str">
            <v>UT - Water - Insurance - General &amp; Bond</v>
          </cell>
          <cell r="E883" t="str">
            <v>2022</v>
          </cell>
          <cell r="F883">
            <v>2749.18</v>
          </cell>
          <cell r="G883">
            <v>2749.18</v>
          </cell>
          <cell r="H883">
            <v>2536.13</v>
          </cell>
          <cell r="I883">
            <v>44926</v>
          </cell>
          <cell r="J883">
            <v>2093.56</v>
          </cell>
          <cell r="K883">
            <v>2211.16</v>
          </cell>
        </row>
        <row r="884">
          <cell r="B884" t="str">
            <v>580-250-100</v>
          </cell>
          <cell r="C884" t="str">
            <v>Expenditure</v>
          </cell>
          <cell r="D884" t="str">
            <v>UT - Water - Memberships/Subscriptions</v>
          </cell>
          <cell r="E884" t="str">
            <v>2022</v>
          </cell>
          <cell r="F884">
            <v>4519.91</v>
          </cell>
          <cell r="G884">
            <v>4519.91</v>
          </cell>
          <cell r="H884">
            <v>3931.54</v>
          </cell>
          <cell r="I884">
            <v>44926</v>
          </cell>
          <cell r="J884">
            <v>5590.44</v>
          </cell>
          <cell r="K884">
            <v>3101.62</v>
          </cell>
        </row>
        <row r="885">
          <cell r="B885" t="str">
            <v>580-260-100</v>
          </cell>
          <cell r="C885" t="str">
            <v>Expenditure</v>
          </cell>
          <cell r="D885" t="str">
            <v>UT - Water - Conference Fees/Training</v>
          </cell>
          <cell r="E885" t="str">
            <v>2022</v>
          </cell>
          <cell r="F885">
            <v>0</v>
          </cell>
          <cell r="G885">
            <v>0</v>
          </cell>
          <cell r="H885">
            <v>1139.99</v>
          </cell>
          <cell r="I885">
            <v>44926</v>
          </cell>
          <cell r="J885">
            <v>150</v>
          </cell>
          <cell r="K885">
            <v>3322.22</v>
          </cell>
        </row>
        <row r="886">
          <cell r="B886" t="str">
            <v>580-280-100</v>
          </cell>
          <cell r="C886" t="str">
            <v>Expenditure</v>
          </cell>
          <cell r="D886" t="str">
            <v>UT - Water - Contracted Building Maint.</v>
          </cell>
          <cell r="E886" t="str">
            <v>2022</v>
          </cell>
          <cell r="F886">
            <v>0</v>
          </cell>
          <cell r="G886">
            <v>0</v>
          </cell>
          <cell r="H886">
            <v>0</v>
          </cell>
          <cell r="I886">
            <v>44926</v>
          </cell>
          <cell r="J886">
            <v>0</v>
          </cell>
          <cell r="K886">
            <v>0</v>
          </cell>
        </row>
        <row r="887">
          <cell r="B887" t="str">
            <v>580-285-100</v>
          </cell>
          <cell r="C887" t="str">
            <v>Expenditure</v>
          </cell>
          <cell r="D887" t="str">
            <v>UT - Cont. Repairs - Building &amp; Equip.</v>
          </cell>
          <cell r="E887" t="str">
            <v>2022</v>
          </cell>
          <cell r="F887">
            <v>0</v>
          </cell>
          <cell r="G887">
            <v>0</v>
          </cell>
          <cell r="H887">
            <v>0</v>
          </cell>
          <cell r="I887">
            <v>44926</v>
          </cell>
          <cell r="J887">
            <v>0</v>
          </cell>
          <cell r="K887">
            <v>0</v>
          </cell>
        </row>
        <row r="888">
          <cell r="B888" t="str">
            <v>580-285-110</v>
          </cell>
          <cell r="C888" t="str">
            <v>Expenditure</v>
          </cell>
          <cell r="D888" t="str">
            <v>UT - Water - Cont. Repairs - Building</v>
          </cell>
          <cell r="E888" t="str">
            <v>2022</v>
          </cell>
          <cell r="F888">
            <v>0</v>
          </cell>
          <cell r="G888">
            <v>0</v>
          </cell>
          <cell r="H888">
            <v>0</v>
          </cell>
          <cell r="I888">
            <v>44926</v>
          </cell>
          <cell r="J888">
            <v>0</v>
          </cell>
          <cell r="K888">
            <v>0</v>
          </cell>
        </row>
        <row r="889">
          <cell r="B889" t="str">
            <v>580-285-120</v>
          </cell>
          <cell r="C889" t="str">
            <v>Expenditure</v>
          </cell>
          <cell r="D889" t="str">
            <v>UT - Water - Cont. Repairs - Equip.</v>
          </cell>
          <cell r="E889" t="str">
            <v>2022</v>
          </cell>
          <cell r="F889">
            <v>2409.96</v>
          </cell>
          <cell r="G889">
            <v>2409.96</v>
          </cell>
          <cell r="H889">
            <v>0</v>
          </cell>
          <cell r="I889">
            <v>44926</v>
          </cell>
          <cell r="J889">
            <v>0</v>
          </cell>
          <cell r="K889">
            <v>0</v>
          </cell>
        </row>
        <row r="890">
          <cell r="B890" t="str">
            <v>580-285-130</v>
          </cell>
          <cell r="C890" t="str">
            <v>Expenditure</v>
          </cell>
          <cell r="D890" t="str">
            <v>UT - Water - Cont. Repairs - Wells</v>
          </cell>
          <cell r="E890" t="str">
            <v>2022</v>
          </cell>
          <cell r="F890">
            <v>0</v>
          </cell>
          <cell r="G890">
            <v>0</v>
          </cell>
          <cell r="H890">
            <v>0</v>
          </cell>
          <cell r="I890">
            <v>44926</v>
          </cell>
          <cell r="J890">
            <v>0</v>
          </cell>
          <cell r="K890">
            <v>0</v>
          </cell>
        </row>
        <row r="891">
          <cell r="B891" t="str">
            <v>580-285-140</v>
          </cell>
          <cell r="C891" t="str">
            <v>Expenditure</v>
          </cell>
          <cell r="D891" t="str">
            <v>UT - Water - Cont. Repairs - W.T.P.</v>
          </cell>
          <cell r="E891" t="str">
            <v>2022</v>
          </cell>
          <cell r="F891">
            <v>15076.46</v>
          </cell>
          <cell r="G891">
            <v>15076.46</v>
          </cell>
          <cell r="H891">
            <v>16712.5</v>
          </cell>
          <cell r="I891">
            <v>44926</v>
          </cell>
          <cell r="J891">
            <v>6033.17</v>
          </cell>
          <cell r="K891">
            <v>7589.4</v>
          </cell>
        </row>
        <row r="892">
          <cell r="B892" t="str">
            <v>580-285-150</v>
          </cell>
          <cell r="C892" t="str">
            <v>Expenditure</v>
          </cell>
          <cell r="D892" t="str">
            <v>UT - Water - Cont. Repairs - Line Repair</v>
          </cell>
          <cell r="E892" t="str">
            <v>2022</v>
          </cell>
          <cell r="F892">
            <v>4851.3900000000003</v>
          </cell>
          <cell r="G892">
            <v>4851.3900000000003</v>
          </cell>
          <cell r="H892">
            <v>49592.94</v>
          </cell>
          <cell r="I892">
            <v>44926</v>
          </cell>
          <cell r="J892">
            <v>16517.71</v>
          </cell>
          <cell r="K892">
            <v>25070.05</v>
          </cell>
        </row>
        <row r="893">
          <cell r="B893" t="str">
            <v>580-290-100</v>
          </cell>
          <cell r="C893" t="str">
            <v>Expenditure</v>
          </cell>
          <cell r="D893" t="str">
            <v>UT - Water - Laboratory Testing</v>
          </cell>
          <cell r="E893" t="str">
            <v>2022</v>
          </cell>
          <cell r="F893">
            <v>6717.36</v>
          </cell>
          <cell r="G893">
            <v>6717.36</v>
          </cell>
          <cell r="H893">
            <v>8274.6</v>
          </cell>
          <cell r="I893">
            <v>44926</v>
          </cell>
          <cell r="J893">
            <v>6882.89</v>
          </cell>
          <cell r="K893">
            <v>4563.8900000000003</v>
          </cell>
        </row>
        <row r="894">
          <cell r="B894" t="str">
            <v>580-300-100</v>
          </cell>
          <cell r="C894" t="str">
            <v>Expenditure</v>
          </cell>
          <cell r="D894" t="str">
            <v>UT - WATER - UTILITY</v>
          </cell>
          <cell r="E894" t="str">
            <v>2022</v>
          </cell>
          <cell r="F894">
            <v>0</v>
          </cell>
          <cell r="G894">
            <v>0</v>
          </cell>
          <cell r="H894">
            <v>0</v>
          </cell>
          <cell r="I894">
            <v>44926</v>
          </cell>
          <cell r="J894">
            <v>0</v>
          </cell>
          <cell r="K894">
            <v>0</v>
          </cell>
        </row>
        <row r="895">
          <cell r="B895" t="str">
            <v>580-300-110</v>
          </cell>
          <cell r="C895" t="str">
            <v>Expenditure</v>
          </cell>
          <cell r="D895" t="str">
            <v>UT - Water - Heat</v>
          </cell>
          <cell r="E895" t="str">
            <v>2022</v>
          </cell>
          <cell r="F895">
            <v>1150.54</v>
          </cell>
          <cell r="G895">
            <v>1150.54</v>
          </cell>
          <cell r="H895">
            <v>1391.06</v>
          </cell>
          <cell r="I895">
            <v>44926</v>
          </cell>
          <cell r="J895">
            <v>1718.53</v>
          </cell>
          <cell r="K895">
            <v>1589.51</v>
          </cell>
        </row>
        <row r="896">
          <cell r="B896" t="str">
            <v>580-300-120</v>
          </cell>
          <cell r="C896" t="str">
            <v>Expenditure</v>
          </cell>
          <cell r="D896" t="str">
            <v>UT - Water - Power</v>
          </cell>
          <cell r="E896" t="str">
            <v>2022</v>
          </cell>
          <cell r="F896">
            <v>14605.32</v>
          </cell>
          <cell r="G896">
            <v>14605.32</v>
          </cell>
          <cell r="H896">
            <v>22914.16</v>
          </cell>
          <cell r="I896">
            <v>44926</v>
          </cell>
          <cell r="J896">
            <v>26076.75</v>
          </cell>
          <cell r="K896">
            <v>26223.65</v>
          </cell>
        </row>
        <row r="897">
          <cell r="B897" t="str">
            <v>580-300-130</v>
          </cell>
          <cell r="C897" t="str">
            <v>Expenditure</v>
          </cell>
          <cell r="D897" t="str">
            <v>UT - Water - Water</v>
          </cell>
          <cell r="E897" t="str">
            <v>2022</v>
          </cell>
          <cell r="F897">
            <v>0</v>
          </cell>
          <cell r="G897">
            <v>0</v>
          </cell>
          <cell r="H897">
            <v>0</v>
          </cell>
          <cell r="I897">
            <v>44926</v>
          </cell>
          <cell r="J897">
            <v>0</v>
          </cell>
          <cell r="K897">
            <v>0</v>
          </cell>
        </row>
        <row r="898">
          <cell r="B898" t="str">
            <v>580-300-140</v>
          </cell>
          <cell r="C898" t="str">
            <v>Expenditure</v>
          </cell>
          <cell r="D898" t="str">
            <v>UT - Water - Telephone</v>
          </cell>
          <cell r="E898" t="str">
            <v>2022</v>
          </cell>
          <cell r="F898">
            <v>689.36</v>
          </cell>
          <cell r="G898">
            <v>689.36</v>
          </cell>
          <cell r="H898">
            <v>1348.1</v>
          </cell>
          <cell r="I898">
            <v>44926</v>
          </cell>
          <cell r="J898">
            <v>1550.82</v>
          </cell>
          <cell r="K898">
            <v>1634.87</v>
          </cell>
        </row>
        <row r="899">
          <cell r="B899" t="str">
            <v>580-300-150</v>
          </cell>
          <cell r="C899" t="str">
            <v>Expenditure</v>
          </cell>
          <cell r="D899" t="str">
            <v>UT - Water - Other</v>
          </cell>
          <cell r="E899" t="str">
            <v>2022</v>
          </cell>
          <cell r="F899">
            <v>0</v>
          </cell>
          <cell r="G899">
            <v>0</v>
          </cell>
          <cell r="H899">
            <v>0</v>
          </cell>
          <cell r="I899">
            <v>44926</v>
          </cell>
          <cell r="J899">
            <v>0</v>
          </cell>
          <cell r="K899">
            <v>0</v>
          </cell>
        </row>
        <row r="900">
          <cell r="B900" t="str">
            <v>580-400-100</v>
          </cell>
          <cell r="C900" t="str">
            <v>Expenditure</v>
          </cell>
          <cell r="D900" t="str">
            <v>UT - WATER - MAINT. MAT. AND SUPPLIES</v>
          </cell>
          <cell r="E900" t="str">
            <v>2022</v>
          </cell>
          <cell r="F900">
            <v>0</v>
          </cell>
          <cell r="G900">
            <v>0</v>
          </cell>
          <cell r="H900">
            <v>0</v>
          </cell>
          <cell r="I900">
            <v>44926</v>
          </cell>
          <cell r="J900">
            <v>0</v>
          </cell>
          <cell r="K900">
            <v>0</v>
          </cell>
        </row>
        <row r="901">
          <cell r="B901" t="str">
            <v>580-400-110</v>
          </cell>
          <cell r="C901" t="str">
            <v>Expenditure</v>
          </cell>
          <cell r="D901" t="str">
            <v>UT - Water - Postage</v>
          </cell>
          <cell r="E901" t="str">
            <v>2022</v>
          </cell>
          <cell r="F901">
            <v>1750</v>
          </cell>
          <cell r="G901">
            <v>1750</v>
          </cell>
          <cell r="H901">
            <v>3000</v>
          </cell>
          <cell r="I901">
            <v>44926</v>
          </cell>
          <cell r="J901">
            <v>3000</v>
          </cell>
          <cell r="K901">
            <v>3000</v>
          </cell>
        </row>
        <row r="902">
          <cell r="B902" t="str">
            <v>580-410-100</v>
          </cell>
          <cell r="C902" t="str">
            <v>Expenditure</v>
          </cell>
          <cell r="D902" t="str">
            <v>UT - Water - Office Supplies</v>
          </cell>
          <cell r="E902" t="str">
            <v>2022</v>
          </cell>
          <cell r="F902">
            <v>2941.94</v>
          </cell>
          <cell r="G902">
            <v>2941.94</v>
          </cell>
          <cell r="H902">
            <v>4999.57</v>
          </cell>
          <cell r="I902">
            <v>44926</v>
          </cell>
          <cell r="J902">
            <v>5000</v>
          </cell>
          <cell r="K902">
            <v>5000</v>
          </cell>
        </row>
        <row r="903">
          <cell r="B903" t="str">
            <v>580-420-100</v>
          </cell>
          <cell r="C903" t="str">
            <v>Expenditure</v>
          </cell>
          <cell r="D903" t="str">
            <v>UT - Water - Gravel/Sand</v>
          </cell>
          <cell r="E903" t="str">
            <v>2022</v>
          </cell>
          <cell r="F903">
            <v>0</v>
          </cell>
          <cell r="G903">
            <v>0</v>
          </cell>
          <cell r="H903">
            <v>0</v>
          </cell>
          <cell r="I903">
            <v>44926</v>
          </cell>
          <cell r="J903">
            <v>0</v>
          </cell>
          <cell r="K903">
            <v>0</v>
          </cell>
        </row>
        <row r="904">
          <cell r="B904" t="str">
            <v>580-430-100</v>
          </cell>
          <cell r="C904" t="str">
            <v>Expenditure</v>
          </cell>
          <cell r="D904" t="str">
            <v>UT - Water - Materials &amp; Supplies</v>
          </cell>
          <cell r="E904" t="str">
            <v>2022</v>
          </cell>
          <cell r="F904">
            <v>0</v>
          </cell>
          <cell r="G904">
            <v>0</v>
          </cell>
          <cell r="H904">
            <v>0</v>
          </cell>
          <cell r="I904">
            <v>44926</v>
          </cell>
          <cell r="J904">
            <v>0</v>
          </cell>
          <cell r="K904">
            <v>0</v>
          </cell>
        </row>
        <row r="905">
          <cell r="B905" t="str">
            <v>580-430-130</v>
          </cell>
          <cell r="C905" t="str">
            <v>Expenditure</v>
          </cell>
          <cell r="D905" t="str">
            <v>UT - Water - Matls &amp; Suppl - WTP</v>
          </cell>
          <cell r="E905" t="str">
            <v>2022</v>
          </cell>
          <cell r="F905">
            <v>0</v>
          </cell>
          <cell r="G905">
            <v>0</v>
          </cell>
          <cell r="H905">
            <v>0</v>
          </cell>
          <cell r="I905">
            <v>44926</v>
          </cell>
          <cell r="J905">
            <v>0</v>
          </cell>
          <cell r="K905">
            <v>0</v>
          </cell>
        </row>
        <row r="906">
          <cell r="B906" t="str">
            <v>580-430-140</v>
          </cell>
          <cell r="C906" t="str">
            <v>Expenditure</v>
          </cell>
          <cell r="D906" t="str">
            <v>UT - Water - Matls &amp; Suppl - Lines</v>
          </cell>
          <cell r="E906" t="str">
            <v>2022</v>
          </cell>
          <cell r="F906">
            <v>0</v>
          </cell>
          <cell r="G906">
            <v>0</v>
          </cell>
          <cell r="H906">
            <v>0</v>
          </cell>
          <cell r="I906">
            <v>44926</v>
          </cell>
          <cell r="J906">
            <v>0</v>
          </cell>
          <cell r="K906">
            <v>0</v>
          </cell>
        </row>
        <row r="907">
          <cell r="B907" t="str">
            <v>580-440-100</v>
          </cell>
          <cell r="C907" t="str">
            <v>Expenditure</v>
          </cell>
          <cell r="D907" t="str">
            <v>UT - Water - Shop Supplies</v>
          </cell>
          <cell r="E907" t="str">
            <v>2022</v>
          </cell>
          <cell r="F907">
            <v>2058.73</v>
          </cell>
          <cell r="G907">
            <v>2058.73</v>
          </cell>
          <cell r="H907">
            <v>4289.03</v>
          </cell>
          <cell r="I907">
            <v>44926</v>
          </cell>
          <cell r="J907">
            <v>4029.94</v>
          </cell>
          <cell r="K907">
            <v>3169.4</v>
          </cell>
        </row>
        <row r="908">
          <cell r="B908" t="str">
            <v>580-440-110</v>
          </cell>
          <cell r="C908" t="str">
            <v>Expenditure</v>
          </cell>
          <cell r="D908" t="str">
            <v>UT - Water - Small Tools &amp; Equipment</v>
          </cell>
          <cell r="E908" t="str">
            <v>2022</v>
          </cell>
          <cell r="F908">
            <v>4461.7299999999996</v>
          </cell>
          <cell r="G908">
            <v>4461.7299999999996</v>
          </cell>
          <cell r="H908">
            <v>15206.49</v>
          </cell>
          <cell r="I908">
            <v>44926</v>
          </cell>
          <cell r="J908">
            <v>4812.68</v>
          </cell>
          <cell r="K908">
            <v>31164.65</v>
          </cell>
        </row>
        <row r="909">
          <cell r="B909" t="str">
            <v>580-450-100</v>
          </cell>
          <cell r="C909" t="str">
            <v>Expenditure</v>
          </cell>
          <cell r="D909" t="str">
            <v>UT - Water - Chemicals</v>
          </cell>
          <cell r="E909" t="str">
            <v>2022</v>
          </cell>
          <cell r="F909">
            <v>41358.910000000003</v>
          </cell>
          <cell r="G909">
            <v>41358.910000000003</v>
          </cell>
          <cell r="H909">
            <v>60221.41</v>
          </cell>
          <cell r="I909">
            <v>44926</v>
          </cell>
          <cell r="J909">
            <v>54179.44</v>
          </cell>
          <cell r="K909">
            <v>48670.07</v>
          </cell>
        </row>
        <row r="910">
          <cell r="B910" t="str">
            <v>580-500-100</v>
          </cell>
          <cell r="C910" t="str">
            <v>Expenditure</v>
          </cell>
          <cell r="D910" t="str">
            <v>UT - WATER - GRANTS AND CONTRIBUTIONS</v>
          </cell>
          <cell r="E910" t="str">
            <v>2022</v>
          </cell>
          <cell r="F910">
            <v>0</v>
          </cell>
          <cell r="G910">
            <v>0</v>
          </cell>
          <cell r="H910">
            <v>0</v>
          </cell>
          <cell r="I910">
            <v>44926</v>
          </cell>
          <cell r="J910">
            <v>0</v>
          </cell>
          <cell r="K910">
            <v>0</v>
          </cell>
        </row>
        <row r="911">
          <cell r="B911" t="str">
            <v>580-500-110</v>
          </cell>
          <cell r="C911" t="str">
            <v>Expenditure</v>
          </cell>
          <cell r="D911" t="str">
            <v>UT - Water - Grants and Contributions</v>
          </cell>
          <cell r="E911" t="str">
            <v>2022</v>
          </cell>
          <cell r="F911">
            <v>0</v>
          </cell>
          <cell r="G911">
            <v>0</v>
          </cell>
          <cell r="H911">
            <v>0</v>
          </cell>
          <cell r="I911">
            <v>44926</v>
          </cell>
          <cell r="J911">
            <v>0</v>
          </cell>
          <cell r="K911">
            <v>0</v>
          </cell>
        </row>
        <row r="912">
          <cell r="B912" t="str">
            <v>580-600-100</v>
          </cell>
          <cell r="C912" t="str">
            <v>Expenditure</v>
          </cell>
          <cell r="D912" t="str">
            <v>UT - WATER - CAPITAL EXPENDITURES</v>
          </cell>
          <cell r="E912" t="str">
            <v>2022</v>
          </cell>
          <cell r="F912">
            <v>0</v>
          </cell>
          <cell r="G912">
            <v>0</v>
          </cell>
          <cell r="H912">
            <v>0</v>
          </cell>
          <cell r="I912">
            <v>44926</v>
          </cell>
          <cell r="J912">
            <v>0</v>
          </cell>
          <cell r="K912">
            <v>0</v>
          </cell>
        </row>
        <row r="913">
          <cell r="B913" t="str">
            <v>580-600-110</v>
          </cell>
          <cell r="C913" t="str">
            <v>Expenditure</v>
          </cell>
          <cell r="D913" t="str">
            <v>UT - Water - Pur of Cap Assets - Infra</v>
          </cell>
          <cell r="E913" t="str">
            <v>2022</v>
          </cell>
          <cell r="F913">
            <v>0</v>
          </cell>
          <cell r="G913">
            <v>0</v>
          </cell>
          <cell r="H913">
            <v>0</v>
          </cell>
          <cell r="I913">
            <v>44926</v>
          </cell>
          <cell r="J913">
            <v>0</v>
          </cell>
          <cell r="K913">
            <v>0</v>
          </cell>
        </row>
        <row r="914">
          <cell r="B914" t="str">
            <v>580-600-120</v>
          </cell>
          <cell r="C914" t="str">
            <v>Expenditure</v>
          </cell>
          <cell r="D914" t="str">
            <v>UT - Water - Pur of Cap Assets - Buildg</v>
          </cell>
          <cell r="E914" t="str">
            <v>2022</v>
          </cell>
          <cell r="F914">
            <v>0</v>
          </cell>
          <cell r="G914">
            <v>0</v>
          </cell>
          <cell r="H914">
            <v>0</v>
          </cell>
          <cell r="I914">
            <v>44926</v>
          </cell>
          <cell r="J914">
            <v>0</v>
          </cell>
          <cell r="K914">
            <v>0</v>
          </cell>
        </row>
        <row r="915">
          <cell r="B915" t="str">
            <v>580-600-130</v>
          </cell>
          <cell r="C915" t="str">
            <v>Expenditure</v>
          </cell>
          <cell r="D915" t="str">
            <v>UT - Water - Pur of Cap Assets - Mach</v>
          </cell>
          <cell r="E915" t="str">
            <v>2022</v>
          </cell>
          <cell r="F915">
            <v>0</v>
          </cell>
          <cell r="G915">
            <v>0</v>
          </cell>
          <cell r="H915">
            <v>0</v>
          </cell>
          <cell r="I915">
            <v>44926</v>
          </cell>
          <cell r="J915">
            <v>0</v>
          </cell>
          <cell r="K915">
            <v>0</v>
          </cell>
        </row>
        <row r="916">
          <cell r="B916" t="str">
            <v>580-600-699</v>
          </cell>
          <cell r="C916" t="str">
            <v>Expenditure</v>
          </cell>
          <cell r="D916" t="str">
            <v>UT - Water - Amortization Expense</v>
          </cell>
          <cell r="E916" t="str">
            <v>2022</v>
          </cell>
          <cell r="F916">
            <v>0</v>
          </cell>
          <cell r="G916">
            <v>0</v>
          </cell>
          <cell r="H916">
            <v>12289.74</v>
          </cell>
          <cell r="I916">
            <v>44926</v>
          </cell>
          <cell r="J916">
            <v>12289.74</v>
          </cell>
          <cell r="K916">
            <v>5603.36</v>
          </cell>
        </row>
        <row r="917">
          <cell r="B917" t="str">
            <v>580-700-100</v>
          </cell>
          <cell r="C917" t="str">
            <v>Expenditure</v>
          </cell>
          <cell r="D917" t="str">
            <v>UT - WATER - INTEREST</v>
          </cell>
          <cell r="E917" t="str">
            <v>2022</v>
          </cell>
          <cell r="F917">
            <v>0</v>
          </cell>
          <cell r="G917">
            <v>0</v>
          </cell>
          <cell r="H917">
            <v>0</v>
          </cell>
          <cell r="I917">
            <v>44926</v>
          </cell>
          <cell r="J917">
            <v>0</v>
          </cell>
          <cell r="K917">
            <v>0</v>
          </cell>
        </row>
        <row r="918">
          <cell r="B918" t="str">
            <v>580-700-110</v>
          </cell>
          <cell r="C918" t="str">
            <v>Expenditure</v>
          </cell>
          <cell r="D918" t="str">
            <v>UT - Water - Interest</v>
          </cell>
          <cell r="E918" t="str">
            <v>2022</v>
          </cell>
          <cell r="F918">
            <v>0</v>
          </cell>
          <cell r="G918">
            <v>0</v>
          </cell>
          <cell r="H918">
            <v>0</v>
          </cell>
          <cell r="I918">
            <v>44926</v>
          </cell>
          <cell r="J918">
            <v>0</v>
          </cell>
          <cell r="K918">
            <v>0</v>
          </cell>
        </row>
        <row r="919">
          <cell r="B919" t="str">
            <v>580-800-100</v>
          </cell>
          <cell r="C919" t="str">
            <v>Expenditure</v>
          </cell>
          <cell r="D919" t="str">
            <v>UT - WATER - ALLOWANCE FOR UNCOLLECTIBLE</v>
          </cell>
          <cell r="E919" t="str">
            <v>2022</v>
          </cell>
          <cell r="F919">
            <v>0</v>
          </cell>
          <cell r="G919">
            <v>0</v>
          </cell>
          <cell r="H919">
            <v>0</v>
          </cell>
          <cell r="I919">
            <v>44926</v>
          </cell>
          <cell r="J919">
            <v>0</v>
          </cell>
          <cell r="K919">
            <v>0</v>
          </cell>
        </row>
        <row r="920">
          <cell r="B920" t="str">
            <v>580-800-110</v>
          </cell>
          <cell r="C920" t="str">
            <v>Expenditure</v>
          </cell>
          <cell r="D920" t="str">
            <v>UT - Water - Allowance for Uncollectible</v>
          </cell>
          <cell r="E920" t="str">
            <v>2022</v>
          </cell>
          <cell r="F920">
            <v>0</v>
          </cell>
          <cell r="G920">
            <v>0</v>
          </cell>
          <cell r="H920">
            <v>0</v>
          </cell>
          <cell r="I920">
            <v>44926</v>
          </cell>
          <cell r="J920">
            <v>0</v>
          </cell>
          <cell r="K920">
            <v>0</v>
          </cell>
        </row>
        <row r="921">
          <cell r="B921" t="str">
            <v>580-900-100</v>
          </cell>
          <cell r="C921" t="str">
            <v>Expenditure</v>
          </cell>
          <cell r="D921" t="str">
            <v>UT - WATER - OTHER</v>
          </cell>
          <cell r="E921" t="str">
            <v>2022</v>
          </cell>
          <cell r="F921">
            <v>0</v>
          </cell>
          <cell r="G921">
            <v>0</v>
          </cell>
          <cell r="H921">
            <v>0</v>
          </cell>
          <cell r="I921">
            <v>44926</v>
          </cell>
          <cell r="J921">
            <v>0</v>
          </cell>
          <cell r="K921">
            <v>0</v>
          </cell>
        </row>
        <row r="922">
          <cell r="B922" t="str">
            <v>580-900-110</v>
          </cell>
          <cell r="C922" t="str">
            <v>Expenditure</v>
          </cell>
          <cell r="D922" t="str">
            <v>UT - Water - Other</v>
          </cell>
          <cell r="E922" t="str">
            <v>2022</v>
          </cell>
          <cell r="F922">
            <v>0</v>
          </cell>
          <cell r="G922">
            <v>0</v>
          </cell>
          <cell r="H922">
            <v>0</v>
          </cell>
          <cell r="I922">
            <v>44926</v>
          </cell>
          <cell r="J922">
            <v>0</v>
          </cell>
          <cell r="K922">
            <v>0</v>
          </cell>
        </row>
        <row r="923">
          <cell r="B923" t="str">
            <v>585-100-050</v>
          </cell>
          <cell r="C923" t="str">
            <v>Expenditure</v>
          </cell>
          <cell r="D923" t="str">
            <v>UTILITIES - SEWER</v>
          </cell>
          <cell r="E923" t="str">
            <v>2022</v>
          </cell>
          <cell r="F923">
            <v>0</v>
          </cell>
          <cell r="G923">
            <v>0</v>
          </cell>
          <cell r="H923">
            <v>0</v>
          </cell>
          <cell r="I923">
            <v>44926</v>
          </cell>
          <cell r="J923">
            <v>0</v>
          </cell>
          <cell r="K923">
            <v>0</v>
          </cell>
        </row>
        <row r="924">
          <cell r="B924" t="str">
            <v>585-110-070</v>
          </cell>
          <cell r="C924" t="str">
            <v>Expenditure</v>
          </cell>
          <cell r="D924" t="str">
            <v>UT - SEWER - WAGES &amp; BENEFITS</v>
          </cell>
          <cell r="E924" t="str">
            <v>2022</v>
          </cell>
          <cell r="F924">
            <v>0</v>
          </cell>
          <cell r="G924">
            <v>0</v>
          </cell>
          <cell r="H924">
            <v>0</v>
          </cell>
          <cell r="I924">
            <v>44926</v>
          </cell>
          <cell r="J924">
            <v>0</v>
          </cell>
          <cell r="K924">
            <v>0</v>
          </cell>
        </row>
        <row r="925">
          <cell r="B925" t="str">
            <v>585-110-110</v>
          </cell>
          <cell r="C925" t="str">
            <v>Expenditure</v>
          </cell>
          <cell r="D925" t="str">
            <v>UT - Sewer - Salaries</v>
          </cell>
          <cell r="E925" t="str">
            <v>2022</v>
          </cell>
          <cell r="F925">
            <v>36410.79</v>
          </cell>
          <cell r="G925">
            <v>36410.79</v>
          </cell>
          <cell r="H925">
            <v>64819.24</v>
          </cell>
          <cell r="I925">
            <v>44926</v>
          </cell>
        </row>
        <row r="926">
          <cell r="B926" t="str">
            <v>585-120-111</v>
          </cell>
          <cell r="C926" t="str">
            <v>Expenditure</v>
          </cell>
          <cell r="D926" t="str">
            <v>UT - Sewer - Benefits - CPP</v>
          </cell>
          <cell r="E926" t="str">
            <v>2022</v>
          </cell>
          <cell r="F926">
            <v>0</v>
          </cell>
          <cell r="G926">
            <v>0</v>
          </cell>
          <cell r="H926">
            <v>2964.91</v>
          </cell>
          <cell r="I926">
            <v>44926</v>
          </cell>
          <cell r="J926">
            <v>2387.5700000000002</v>
          </cell>
          <cell r="K926">
            <v>1733.34</v>
          </cell>
        </row>
        <row r="927">
          <cell r="B927" t="str">
            <v>585-120-112</v>
          </cell>
          <cell r="C927" t="str">
            <v>Expenditure</v>
          </cell>
          <cell r="D927" t="str">
            <v>UT - Sewer - Benefits - EI</v>
          </cell>
          <cell r="E927" t="str">
            <v>2022</v>
          </cell>
          <cell r="F927">
            <v>0</v>
          </cell>
          <cell r="G927">
            <v>0</v>
          </cell>
          <cell r="H927">
            <v>1097.9100000000001</v>
          </cell>
          <cell r="I927">
            <v>44926</v>
          </cell>
          <cell r="J927">
            <v>907.95</v>
          </cell>
          <cell r="K927">
            <v>2338.3200000000002</v>
          </cell>
        </row>
        <row r="928">
          <cell r="B928" t="str">
            <v>585-120-113</v>
          </cell>
          <cell r="C928" t="str">
            <v>Expenditure</v>
          </cell>
          <cell r="D928" t="str">
            <v>UT - Sewer - Benefits - MEPP</v>
          </cell>
          <cell r="E928" t="str">
            <v>2022</v>
          </cell>
          <cell r="F928">
            <v>2802.85</v>
          </cell>
          <cell r="G928">
            <v>2802.85</v>
          </cell>
          <cell r="H928">
            <v>5254.9</v>
          </cell>
          <cell r="I928">
            <v>44926</v>
          </cell>
          <cell r="J928">
            <v>4600.95</v>
          </cell>
          <cell r="K928">
            <v>5064.2700000000004</v>
          </cell>
        </row>
        <row r="929">
          <cell r="B929" t="str">
            <v>585-120-114</v>
          </cell>
          <cell r="C929" t="str">
            <v>Expenditure</v>
          </cell>
          <cell r="D929" t="str">
            <v>UT - Sewer - Benefits - WCB</v>
          </cell>
          <cell r="E929" t="str">
            <v>2022</v>
          </cell>
          <cell r="F929">
            <v>1666.07</v>
          </cell>
          <cell r="G929">
            <v>1666.07</v>
          </cell>
          <cell r="H929">
            <v>1640.71</v>
          </cell>
          <cell r="I929">
            <v>44926</v>
          </cell>
          <cell r="J929">
            <v>3146</v>
          </cell>
          <cell r="K929">
            <v>2670.73</v>
          </cell>
        </row>
        <row r="930">
          <cell r="B930" t="str">
            <v>585-120-115</v>
          </cell>
          <cell r="C930" t="str">
            <v>Expenditure</v>
          </cell>
          <cell r="D930" t="str">
            <v>UT - Sewer - Benefits - Group Benefits</v>
          </cell>
          <cell r="E930" t="str">
            <v>2022</v>
          </cell>
          <cell r="F930">
            <v>855.59</v>
          </cell>
          <cell r="G930">
            <v>855.59</v>
          </cell>
          <cell r="H930">
            <v>2789.47</v>
          </cell>
          <cell r="I930">
            <v>44926</v>
          </cell>
          <cell r="J930">
            <v>717.43</v>
          </cell>
          <cell r="K930">
            <v>836.3</v>
          </cell>
        </row>
        <row r="931">
          <cell r="B931" t="str">
            <v>585-200-100</v>
          </cell>
          <cell r="C931" t="str">
            <v>Expenditure</v>
          </cell>
          <cell r="D931" t="str">
            <v>UT - SEWER - PROF/CONTRACT SERVICES</v>
          </cell>
          <cell r="E931" t="str">
            <v>2022</v>
          </cell>
          <cell r="F931">
            <v>0</v>
          </cell>
          <cell r="G931">
            <v>0</v>
          </cell>
          <cell r="H931">
            <v>0</v>
          </cell>
          <cell r="I931">
            <v>44926</v>
          </cell>
          <cell r="J931">
            <v>0</v>
          </cell>
          <cell r="K931">
            <v>0</v>
          </cell>
        </row>
        <row r="932">
          <cell r="B932" t="str">
            <v>585-200-110</v>
          </cell>
          <cell r="C932" t="str">
            <v>Expenditure</v>
          </cell>
          <cell r="D932" t="str">
            <v>UT - Sewer - Legal Fees</v>
          </cell>
          <cell r="E932" t="str">
            <v>2022</v>
          </cell>
          <cell r="F932">
            <v>0</v>
          </cell>
          <cell r="G932">
            <v>0</v>
          </cell>
          <cell r="H932">
            <v>0</v>
          </cell>
          <cell r="I932">
            <v>44926</v>
          </cell>
          <cell r="J932">
            <v>0</v>
          </cell>
          <cell r="K932">
            <v>0</v>
          </cell>
        </row>
        <row r="933">
          <cell r="B933" t="str">
            <v>585-210-100</v>
          </cell>
          <cell r="C933" t="str">
            <v>Expenditure</v>
          </cell>
          <cell r="D933" t="str">
            <v>UT - Sewer - Advertising</v>
          </cell>
          <cell r="E933" t="str">
            <v>2022</v>
          </cell>
          <cell r="F933">
            <v>0</v>
          </cell>
          <cell r="G933">
            <v>0</v>
          </cell>
          <cell r="H933">
            <v>0</v>
          </cell>
          <cell r="I933">
            <v>44926</v>
          </cell>
          <cell r="J933">
            <v>0</v>
          </cell>
          <cell r="K933">
            <v>0</v>
          </cell>
        </row>
        <row r="934">
          <cell r="B934" t="str">
            <v>585-230-100</v>
          </cell>
          <cell r="C934" t="str">
            <v>Expenditure</v>
          </cell>
          <cell r="D934" t="str">
            <v>UT - Sewer - Travel, Meals &amp; Subsistence</v>
          </cell>
          <cell r="E934" t="str">
            <v>2022</v>
          </cell>
          <cell r="F934">
            <v>0</v>
          </cell>
          <cell r="G934">
            <v>0</v>
          </cell>
          <cell r="H934">
            <v>0</v>
          </cell>
          <cell r="I934">
            <v>44926</v>
          </cell>
          <cell r="J934">
            <v>0</v>
          </cell>
          <cell r="K934">
            <v>0</v>
          </cell>
        </row>
        <row r="935">
          <cell r="B935" t="str">
            <v>585-240-100</v>
          </cell>
          <cell r="C935" t="str">
            <v>Expenditure</v>
          </cell>
          <cell r="D935" t="str">
            <v>UT - Sewer - Insurance - General &amp; Bond</v>
          </cell>
          <cell r="E935" t="str">
            <v>2022</v>
          </cell>
          <cell r="F935">
            <v>10828.53</v>
          </cell>
          <cell r="G935">
            <v>10828.53</v>
          </cell>
          <cell r="H935">
            <v>10890.99</v>
          </cell>
          <cell r="I935">
            <v>44926</v>
          </cell>
          <cell r="J935">
            <v>10236.459999999999</v>
          </cell>
          <cell r="K935">
            <v>9864.36</v>
          </cell>
        </row>
        <row r="936">
          <cell r="B936" t="str">
            <v>585-250-100</v>
          </cell>
          <cell r="C936" t="str">
            <v>Expenditure</v>
          </cell>
          <cell r="D936" t="str">
            <v>UT - Sewer - Memberships/Subscriptions</v>
          </cell>
          <cell r="E936" t="str">
            <v>2022</v>
          </cell>
          <cell r="F936">
            <v>0</v>
          </cell>
          <cell r="G936">
            <v>0</v>
          </cell>
          <cell r="H936">
            <v>0</v>
          </cell>
          <cell r="I936">
            <v>44926</v>
          </cell>
          <cell r="J936">
            <v>0</v>
          </cell>
          <cell r="K936">
            <v>0</v>
          </cell>
        </row>
        <row r="937">
          <cell r="B937" t="str">
            <v>585-260-100</v>
          </cell>
          <cell r="C937" t="str">
            <v>Expenditure</v>
          </cell>
          <cell r="D937" t="str">
            <v>UT - Sewer - Conference Fees/Training</v>
          </cell>
          <cell r="E937" t="str">
            <v>2022</v>
          </cell>
          <cell r="F937">
            <v>0</v>
          </cell>
          <cell r="G937">
            <v>0</v>
          </cell>
          <cell r="H937">
            <v>1192.8499999999999</v>
          </cell>
          <cell r="I937">
            <v>44926</v>
          </cell>
          <cell r="J937">
            <v>0</v>
          </cell>
          <cell r="K937">
            <v>0</v>
          </cell>
        </row>
        <row r="938">
          <cell r="B938" t="str">
            <v>585-280-100</v>
          </cell>
          <cell r="C938" t="str">
            <v>Expenditure</v>
          </cell>
          <cell r="D938" t="str">
            <v>UT - Sewer - Contracted Maint.</v>
          </cell>
          <cell r="E938" t="str">
            <v>2022</v>
          </cell>
          <cell r="F938">
            <v>23561.95</v>
          </cell>
          <cell r="G938">
            <v>23561.95</v>
          </cell>
          <cell r="H938">
            <v>29247.72</v>
          </cell>
          <cell r="I938">
            <v>44926</v>
          </cell>
          <cell r="J938">
            <v>61547.14</v>
          </cell>
          <cell r="K938">
            <v>95845.6</v>
          </cell>
        </row>
        <row r="939">
          <cell r="B939" t="str">
            <v>585-285-100</v>
          </cell>
          <cell r="C939" t="str">
            <v>Expenditure</v>
          </cell>
          <cell r="D939" t="str">
            <v>UT - Sewer - Cont Repairs - Bldg &amp; Eqpt</v>
          </cell>
          <cell r="E939" t="str">
            <v>2022</v>
          </cell>
          <cell r="F939">
            <v>0</v>
          </cell>
          <cell r="G939">
            <v>0</v>
          </cell>
          <cell r="H939">
            <v>0</v>
          </cell>
          <cell r="I939">
            <v>44926</v>
          </cell>
          <cell r="J939">
            <v>0</v>
          </cell>
          <cell r="K939">
            <v>0</v>
          </cell>
        </row>
        <row r="940">
          <cell r="B940" t="str">
            <v>585-285-110</v>
          </cell>
          <cell r="C940" t="str">
            <v>Expenditure</v>
          </cell>
          <cell r="D940" t="str">
            <v>UT - Sewer - Cont Repairs - Lift Station</v>
          </cell>
          <cell r="E940" t="str">
            <v>2022</v>
          </cell>
          <cell r="F940">
            <v>0</v>
          </cell>
          <cell r="G940">
            <v>0</v>
          </cell>
          <cell r="H940">
            <v>0</v>
          </cell>
          <cell r="I940">
            <v>44926</v>
          </cell>
          <cell r="J940">
            <v>0</v>
          </cell>
          <cell r="K940">
            <v>0</v>
          </cell>
        </row>
        <row r="941">
          <cell r="B941" t="str">
            <v>585-285-120</v>
          </cell>
          <cell r="C941" t="str">
            <v>Expenditure</v>
          </cell>
          <cell r="D941" t="str">
            <v>UT - Sewer - Cont Repairs - Line Repair</v>
          </cell>
          <cell r="E941" t="str">
            <v>2022</v>
          </cell>
          <cell r="F941">
            <v>0</v>
          </cell>
          <cell r="G941">
            <v>0</v>
          </cell>
          <cell r="H941">
            <v>0</v>
          </cell>
          <cell r="I941">
            <v>44926</v>
          </cell>
          <cell r="J941">
            <v>0</v>
          </cell>
          <cell r="K941">
            <v>0</v>
          </cell>
        </row>
        <row r="942">
          <cell r="B942" t="str">
            <v>585-285-130</v>
          </cell>
          <cell r="C942" t="str">
            <v>Expenditure</v>
          </cell>
          <cell r="D942" t="str">
            <v>UT - Sewer - Cont Repairs - Lagoon</v>
          </cell>
          <cell r="E942" t="str">
            <v>2022</v>
          </cell>
          <cell r="F942">
            <v>0</v>
          </cell>
          <cell r="G942">
            <v>0</v>
          </cell>
          <cell r="H942">
            <v>0</v>
          </cell>
          <cell r="I942">
            <v>44926</v>
          </cell>
          <cell r="J942">
            <v>0</v>
          </cell>
          <cell r="K942">
            <v>0</v>
          </cell>
        </row>
        <row r="943">
          <cell r="B943" t="str">
            <v>585-290-100</v>
          </cell>
          <cell r="C943" t="str">
            <v>Expenditure</v>
          </cell>
          <cell r="D943" t="str">
            <v>UT - Sewer - Laboratory Testing</v>
          </cell>
          <cell r="E943" t="str">
            <v>2022</v>
          </cell>
          <cell r="F943">
            <v>2159.0700000000002</v>
          </cell>
          <cell r="G943">
            <v>2159.0700000000002</v>
          </cell>
          <cell r="H943">
            <v>1842.82</v>
          </cell>
          <cell r="I943">
            <v>44926</v>
          </cell>
          <cell r="J943">
            <v>2085.44</v>
          </cell>
          <cell r="K943">
            <v>3769.9</v>
          </cell>
        </row>
        <row r="944">
          <cell r="B944" t="str">
            <v>585-295-100</v>
          </cell>
          <cell r="C944" t="str">
            <v>Expenditure</v>
          </cell>
          <cell r="D944" t="str">
            <v>UT - Sewer - Other</v>
          </cell>
          <cell r="E944" t="str">
            <v>2022</v>
          </cell>
          <cell r="F944">
            <v>0</v>
          </cell>
          <cell r="G944">
            <v>0</v>
          </cell>
          <cell r="H944">
            <v>0</v>
          </cell>
          <cell r="I944">
            <v>44926</v>
          </cell>
          <cell r="J944">
            <v>0</v>
          </cell>
          <cell r="K944">
            <v>0</v>
          </cell>
        </row>
        <row r="945">
          <cell r="B945" t="str">
            <v>585-300-100</v>
          </cell>
          <cell r="C945" t="str">
            <v>Expenditure</v>
          </cell>
          <cell r="D945" t="str">
            <v>UT - SEWER - UTILITY</v>
          </cell>
          <cell r="E945" t="str">
            <v>2022</v>
          </cell>
          <cell r="F945">
            <v>0</v>
          </cell>
          <cell r="G945">
            <v>0</v>
          </cell>
          <cell r="H945">
            <v>0</v>
          </cell>
          <cell r="I945">
            <v>44926</v>
          </cell>
          <cell r="J945">
            <v>0</v>
          </cell>
          <cell r="K945">
            <v>0</v>
          </cell>
        </row>
        <row r="946">
          <cell r="B946" t="str">
            <v>585-300-110</v>
          </cell>
          <cell r="C946" t="str">
            <v>Expenditure</v>
          </cell>
          <cell r="D946" t="str">
            <v>UT - Sewer - Heat</v>
          </cell>
          <cell r="E946" t="str">
            <v>2022</v>
          </cell>
          <cell r="F946">
            <v>3495.59</v>
          </cell>
          <cell r="G946">
            <v>3495.59</v>
          </cell>
          <cell r="H946">
            <v>4904</v>
          </cell>
          <cell r="I946">
            <v>44926</v>
          </cell>
          <cell r="J946">
            <v>5615.82</v>
          </cell>
          <cell r="K946">
            <v>4615.8999999999996</v>
          </cell>
        </row>
        <row r="947">
          <cell r="B947" t="str">
            <v>585-300-120</v>
          </cell>
          <cell r="C947" t="str">
            <v>Expenditure</v>
          </cell>
          <cell r="D947" t="str">
            <v>UT - Sewer - Power</v>
          </cell>
          <cell r="E947" t="str">
            <v>2022</v>
          </cell>
          <cell r="F947">
            <v>36991.360000000001</v>
          </cell>
          <cell r="G947">
            <v>36991.360000000001</v>
          </cell>
          <cell r="H947">
            <v>55654.39</v>
          </cell>
          <cell r="I947">
            <v>44926</v>
          </cell>
          <cell r="J947">
            <v>63369.86</v>
          </cell>
          <cell r="K947">
            <v>55631.93</v>
          </cell>
        </row>
        <row r="948">
          <cell r="B948" t="str">
            <v>585-300-130</v>
          </cell>
          <cell r="C948" t="str">
            <v>Expenditure</v>
          </cell>
          <cell r="D948" t="str">
            <v>UT - Sewer - Water</v>
          </cell>
          <cell r="E948" t="str">
            <v>2022</v>
          </cell>
          <cell r="F948">
            <v>0</v>
          </cell>
          <cell r="G948">
            <v>0</v>
          </cell>
          <cell r="H948">
            <v>0</v>
          </cell>
          <cell r="I948">
            <v>44926</v>
          </cell>
          <cell r="J948">
            <v>0</v>
          </cell>
          <cell r="K948">
            <v>0</v>
          </cell>
        </row>
        <row r="949">
          <cell r="B949" t="str">
            <v>585-300-140</v>
          </cell>
          <cell r="C949" t="str">
            <v>Expenditure</v>
          </cell>
          <cell r="D949" t="str">
            <v>UT - Sewer - Telephone</v>
          </cell>
          <cell r="E949" t="str">
            <v>2022</v>
          </cell>
          <cell r="F949">
            <v>303.45</v>
          </cell>
          <cell r="G949">
            <v>303.45</v>
          </cell>
          <cell r="H949">
            <v>483.71</v>
          </cell>
          <cell r="I949">
            <v>44926</v>
          </cell>
          <cell r="J949">
            <v>0</v>
          </cell>
          <cell r="K949">
            <v>0</v>
          </cell>
        </row>
        <row r="950">
          <cell r="B950" t="str">
            <v>585-300-150</v>
          </cell>
          <cell r="C950" t="str">
            <v>Expenditure</v>
          </cell>
          <cell r="D950" t="str">
            <v>UT - Sewer - Other</v>
          </cell>
          <cell r="E950" t="str">
            <v>2022</v>
          </cell>
          <cell r="F950">
            <v>0</v>
          </cell>
          <cell r="G950">
            <v>0</v>
          </cell>
          <cell r="H950">
            <v>0</v>
          </cell>
          <cell r="I950">
            <v>44926</v>
          </cell>
          <cell r="J950">
            <v>0</v>
          </cell>
          <cell r="K950">
            <v>0</v>
          </cell>
        </row>
        <row r="951">
          <cell r="B951" t="str">
            <v>585-400-100</v>
          </cell>
          <cell r="C951" t="str">
            <v>Expenditure</v>
          </cell>
          <cell r="D951" t="str">
            <v>UT - SEWER - MAINT. MAT. AND SUPPLIES</v>
          </cell>
          <cell r="E951" t="str">
            <v>2022</v>
          </cell>
          <cell r="F951">
            <v>0</v>
          </cell>
          <cell r="G951">
            <v>0</v>
          </cell>
          <cell r="H951">
            <v>0</v>
          </cell>
          <cell r="I951">
            <v>44926</v>
          </cell>
          <cell r="J951">
            <v>0</v>
          </cell>
          <cell r="K951">
            <v>0</v>
          </cell>
        </row>
        <row r="952">
          <cell r="B952" t="str">
            <v>585-400-110</v>
          </cell>
          <cell r="C952" t="str">
            <v>Expenditure</v>
          </cell>
          <cell r="D952" t="str">
            <v>UT - Sewer - Stationary &amp; Postage</v>
          </cell>
          <cell r="E952" t="str">
            <v>2022</v>
          </cell>
          <cell r="F952">
            <v>0</v>
          </cell>
          <cell r="G952">
            <v>0</v>
          </cell>
          <cell r="H952">
            <v>0</v>
          </cell>
          <cell r="I952">
            <v>44926</v>
          </cell>
          <cell r="J952">
            <v>0</v>
          </cell>
          <cell r="K952">
            <v>0</v>
          </cell>
        </row>
        <row r="953">
          <cell r="B953" t="str">
            <v>585-410-100</v>
          </cell>
          <cell r="C953" t="str">
            <v>Expenditure</v>
          </cell>
          <cell r="D953" t="str">
            <v>UT - Sewer - Office Supplies</v>
          </cell>
          <cell r="E953" t="str">
            <v>2022</v>
          </cell>
          <cell r="F953">
            <v>0</v>
          </cell>
          <cell r="G953">
            <v>0</v>
          </cell>
          <cell r="H953">
            <v>0</v>
          </cell>
          <cell r="I953">
            <v>44926</v>
          </cell>
          <cell r="J953">
            <v>0</v>
          </cell>
          <cell r="K953">
            <v>0</v>
          </cell>
        </row>
        <row r="954">
          <cell r="B954" t="str">
            <v>585-420-100</v>
          </cell>
          <cell r="C954" t="str">
            <v>Expenditure</v>
          </cell>
          <cell r="D954" t="str">
            <v>UT - Sewer - Gravel/Sand</v>
          </cell>
          <cell r="E954" t="str">
            <v>2022</v>
          </cell>
          <cell r="F954">
            <v>0</v>
          </cell>
          <cell r="G954">
            <v>0</v>
          </cell>
          <cell r="H954">
            <v>0</v>
          </cell>
          <cell r="I954">
            <v>44926</v>
          </cell>
          <cell r="J954">
            <v>0</v>
          </cell>
          <cell r="K954">
            <v>0</v>
          </cell>
        </row>
        <row r="955">
          <cell r="B955" t="str">
            <v>585-430-100</v>
          </cell>
          <cell r="C955" t="str">
            <v>Expenditure</v>
          </cell>
          <cell r="D955" t="str">
            <v>UT - Sewer - Building Maint. Mat&amp;Supply</v>
          </cell>
          <cell r="E955" t="str">
            <v>2022</v>
          </cell>
          <cell r="F955">
            <v>11653.51</v>
          </cell>
          <cell r="G955">
            <v>11653.51</v>
          </cell>
          <cell r="H955">
            <v>1453.35</v>
          </cell>
          <cell r="I955">
            <v>44926</v>
          </cell>
          <cell r="J955">
            <v>706.61</v>
          </cell>
          <cell r="K955">
            <v>11880.58</v>
          </cell>
        </row>
        <row r="956">
          <cell r="B956" t="str">
            <v>585-430-110</v>
          </cell>
          <cell r="C956" t="str">
            <v>Expenditure</v>
          </cell>
          <cell r="D956" t="str">
            <v>UT - Sewer - Lift Stations</v>
          </cell>
          <cell r="E956" t="str">
            <v>2022</v>
          </cell>
          <cell r="F956">
            <v>0</v>
          </cell>
          <cell r="G956">
            <v>0</v>
          </cell>
          <cell r="H956">
            <v>0</v>
          </cell>
          <cell r="I956">
            <v>44926</v>
          </cell>
          <cell r="J956">
            <v>0</v>
          </cell>
          <cell r="K956">
            <v>0</v>
          </cell>
        </row>
        <row r="957">
          <cell r="B957" t="str">
            <v>585-430-120</v>
          </cell>
          <cell r="C957" t="str">
            <v>Expenditure</v>
          </cell>
          <cell r="D957" t="str">
            <v>UT - Sewer - Sewer Lines</v>
          </cell>
          <cell r="E957" t="str">
            <v>2022</v>
          </cell>
          <cell r="F957">
            <v>0</v>
          </cell>
          <cell r="G957">
            <v>0</v>
          </cell>
          <cell r="H957">
            <v>0</v>
          </cell>
          <cell r="I957">
            <v>44926</v>
          </cell>
          <cell r="J957">
            <v>0</v>
          </cell>
          <cell r="K957">
            <v>0</v>
          </cell>
        </row>
        <row r="958">
          <cell r="B958" t="str">
            <v>585-430-130</v>
          </cell>
          <cell r="C958" t="str">
            <v>Expenditure</v>
          </cell>
          <cell r="D958" t="str">
            <v>UT - Sewer - Lagoon</v>
          </cell>
          <cell r="E958" t="str">
            <v>2022</v>
          </cell>
          <cell r="F958">
            <v>0</v>
          </cell>
          <cell r="G958">
            <v>0</v>
          </cell>
          <cell r="H958">
            <v>0</v>
          </cell>
          <cell r="I958">
            <v>44926</v>
          </cell>
          <cell r="J958">
            <v>0</v>
          </cell>
          <cell r="K958">
            <v>0</v>
          </cell>
        </row>
        <row r="959">
          <cell r="B959" t="str">
            <v>585-430-140</v>
          </cell>
          <cell r="C959" t="str">
            <v>Expenditure</v>
          </cell>
          <cell r="D959" t="str">
            <v>UT - Sewer - Manhole Repair</v>
          </cell>
          <cell r="E959" t="str">
            <v>2022</v>
          </cell>
          <cell r="F959">
            <v>0</v>
          </cell>
          <cell r="G959">
            <v>0</v>
          </cell>
          <cell r="H959">
            <v>0</v>
          </cell>
          <cell r="I959">
            <v>44926</v>
          </cell>
          <cell r="J959">
            <v>0</v>
          </cell>
          <cell r="K959">
            <v>0</v>
          </cell>
        </row>
        <row r="960">
          <cell r="B960" t="str">
            <v>585-440-100</v>
          </cell>
          <cell r="C960" t="str">
            <v>Expenditure</v>
          </cell>
          <cell r="D960" t="str">
            <v>UT - Sewer - Shop Supplies</v>
          </cell>
          <cell r="E960" t="str">
            <v>2022</v>
          </cell>
          <cell r="F960">
            <v>731.04</v>
          </cell>
          <cell r="G960">
            <v>731.04</v>
          </cell>
          <cell r="H960">
            <v>749.25</v>
          </cell>
          <cell r="I960">
            <v>44926</v>
          </cell>
          <cell r="J960">
            <v>2303.0100000000002</v>
          </cell>
          <cell r="K960">
            <v>3610.33</v>
          </cell>
        </row>
        <row r="961">
          <cell r="B961" t="str">
            <v>585-440-110</v>
          </cell>
          <cell r="C961" t="str">
            <v>Expenditure</v>
          </cell>
          <cell r="D961" t="str">
            <v>UT - Sewer - Small tools</v>
          </cell>
          <cell r="E961" t="str">
            <v>2022</v>
          </cell>
          <cell r="F961">
            <v>0</v>
          </cell>
          <cell r="G961">
            <v>0</v>
          </cell>
          <cell r="H961">
            <v>0</v>
          </cell>
          <cell r="I961">
            <v>44926</v>
          </cell>
          <cell r="J961">
            <v>0</v>
          </cell>
          <cell r="K961">
            <v>0</v>
          </cell>
        </row>
        <row r="962">
          <cell r="B962" t="str">
            <v>585-450-100</v>
          </cell>
          <cell r="C962" t="str">
            <v>Expenditure</v>
          </cell>
          <cell r="D962" t="str">
            <v>UT - Sewer - Chemicals</v>
          </cell>
          <cell r="E962" t="str">
            <v>2022</v>
          </cell>
          <cell r="F962">
            <v>18380.990000000002</v>
          </cell>
          <cell r="G962">
            <v>18380.990000000002</v>
          </cell>
          <cell r="H962">
            <v>18907.099999999999</v>
          </cell>
          <cell r="I962">
            <v>44926</v>
          </cell>
          <cell r="J962">
            <v>18642.509999999998</v>
          </cell>
          <cell r="K962">
            <v>18753.78</v>
          </cell>
        </row>
        <row r="963">
          <cell r="B963" t="str">
            <v>585-500-100</v>
          </cell>
          <cell r="C963" t="str">
            <v>Expenditure</v>
          </cell>
          <cell r="D963" t="str">
            <v>UT - SEWER - GRANTS AND CONTRIBUTIONS</v>
          </cell>
          <cell r="E963" t="str">
            <v>2022</v>
          </cell>
          <cell r="F963">
            <v>0</v>
          </cell>
          <cell r="G963">
            <v>0</v>
          </cell>
          <cell r="H963">
            <v>0</v>
          </cell>
          <cell r="I963">
            <v>44926</v>
          </cell>
          <cell r="J963">
            <v>0</v>
          </cell>
          <cell r="K963">
            <v>0</v>
          </cell>
        </row>
        <row r="964">
          <cell r="B964" t="str">
            <v>585-500-110</v>
          </cell>
          <cell r="C964" t="str">
            <v>Expenditure</v>
          </cell>
          <cell r="D964" t="str">
            <v>UT - Sewer - Grants and Contributions</v>
          </cell>
          <cell r="E964" t="str">
            <v>2022</v>
          </cell>
          <cell r="F964">
            <v>0</v>
          </cell>
          <cell r="G964">
            <v>0</v>
          </cell>
          <cell r="H964">
            <v>0</v>
          </cell>
          <cell r="I964">
            <v>44926</v>
          </cell>
          <cell r="J964">
            <v>0</v>
          </cell>
          <cell r="K964">
            <v>0</v>
          </cell>
        </row>
        <row r="965">
          <cell r="B965" t="str">
            <v>585-600-100</v>
          </cell>
          <cell r="C965" t="str">
            <v>Expenditure</v>
          </cell>
          <cell r="D965" t="str">
            <v>UT - SEWER - CAPITAL EXPENDITURES</v>
          </cell>
          <cell r="E965" t="str">
            <v>2022</v>
          </cell>
          <cell r="F965">
            <v>0</v>
          </cell>
          <cell r="G965">
            <v>0</v>
          </cell>
          <cell r="H965">
            <v>0</v>
          </cell>
          <cell r="I965">
            <v>44926</v>
          </cell>
          <cell r="J965">
            <v>0</v>
          </cell>
          <cell r="K965">
            <v>0</v>
          </cell>
        </row>
        <row r="966">
          <cell r="B966" t="str">
            <v>585-600-110</v>
          </cell>
          <cell r="C966" t="str">
            <v>Expenditure</v>
          </cell>
          <cell r="D966" t="str">
            <v>UT - Sewer - Pur of Cap Assets - Land</v>
          </cell>
          <cell r="E966" t="str">
            <v>2022</v>
          </cell>
          <cell r="F966">
            <v>0</v>
          </cell>
          <cell r="G966">
            <v>0</v>
          </cell>
          <cell r="H966">
            <v>0</v>
          </cell>
          <cell r="I966">
            <v>44926</v>
          </cell>
          <cell r="J966">
            <v>0</v>
          </cell>
          <cell r="K966">
            <v>0</v>
          </cell>
        </row>
        <row r="967">
          <cell r="B967" t="str">
            <v>585-600-120</v>
          </cell>
          <cell r="C967" t="str">
            <v>Expenditure</v>
          </cell>
          <cell r="D967" t="str">
            <v>UT - Sewer - Pur of Cap Assets - Buildg</v>
          </cell>
          <cell r="E967" t="str">
            <v>2022</v>
          </cell>
          <cell r="F967">
            <v>0</v>
          </cell>
          <cell r="G967">
            <v>0</v>
          </cell>
          <cell r="H967">
            <v>0</v>
          </cell>
          <cell r="I967">
            <v>44926</v>
          </cell>
          <cell r="J967">
            <v>0</v>
          </cell>
          <cell r="K967">
            <v>0</v>
          </cell>
        </row>
        <row r="968">
          <cell r="B968" t="str">
            <v>585-600-130</v>
          </cell>
          <cell r="C968" t="str">
            <v>Expenditure</v>
          </cell>
          <cell r="D968" t="str">
            <v>UT - Sewer - Pur of Cap Assets - Infra</v>
          </cell>
          <cell r="E968" t="str">
            <v>2022</v>
          </cell>
          <cell r="F968">
            <v>0</v>
          </cell>
          <cell r="G968">
            <v>0</v>
          </cell>
          <cell r="H968">
            <v>0</v>
          </cell>
          <cell r="I968">
            <v>44926</v>
          </cell>
          <cell r="J968">
            <v>0</v>
          </cell>
          <cell r="K968">
            <v>0</v>
          </cell>
        </row>
        <row r="969">
          <cell r="B969" t="str">
            <v>585-600-299</v>
          </cell>
          <cell r="C969" t="str">
            <v>Expenditure</v>
          </cell>
          <cell r="D969" t="str">
            <v>UT - Sewer - Amortortization</v>
          </cell>
          <cell r="E969" t="str">
            <v>2022</v>
          </cell>
          <cell r="F969">
            <v>0</v>
          </cell>
          <cell r="G969">
            <v>0</v>
          </cell>
          <cell r="H969">
            <v>304481.61</v>
          </cell>
          <cell r="I969">
            <v>44926</v>
          </cell>
          <cell r="J969">
            <v>301970.59000000003</v>
          </cell>
          <cell r="K969">
            <v>297390</v>
          </cell>
        </row>
        <row r="970">
          <cell r="B970" t="str">
            <v>585-700-100</v>
          </cell>
          <cell r="C970" t="str">
            <v>Expenditure</v>
          </cell>
          <cell r="D970" t="str">
            <v>UT - SEWER - INTEREST</v>
          </cell>
          <cell r="E970" t="str">
            <v>2022</v>
          </cell>
          <cell r="F970">
            <v>0</v>
          </cell>
          <cell r="G970">
            <v>0</v>
          </cell>
          <cell r="H970">
            <v>0</v>
          </cell>
          <cell r="I970">
            <v>44926</v>
          </cell>
          <cell r="J970">
            <v>0</v>
          </cell>
          <cell r="K970">
            <v>0</v>
          </cell>
        </row>
        <row r="971">
          <cell r="B971" t="str">
            <v>585-700-110</v>
          </cell>
          <cell r="C971" t="str">
            <v>Expenditure</v>
          </cell>
          <cell r="D971" t="str">
            <v>UT - Sewer - Interest</v>
          </cell>
          <cell r="E971" t="str">
            <v>2022</v>
          </cell>
          <cell r="F971">
            <v>263261.63</v>
          </cell>
          <cell r="G971">
            <v>263261.63</v>
          </cell>
          <cell r="H971">
            <v>37408.79</v>
          </cell>
          <cell r="I971">
            <v>44926</v>
          </cell>
          <cell r="J971">
            <v>48169.3</v>
          </cell>
          <cell r="K971">
            <v>67322.92</v>
          </cell>
        </row>
        <row r="972">
          <cell r="B972" t="str">
            <v>585-700-115</v>
          </cell>
          <cell r="C972" t="str">
            <v>Expenditure</v>
          </cell>
          <cell r="D972" t="str">
            <v>UT - Sewer - WWTP Loan Pymnt CMHC</v>
          </cell>
          <cell r="E972" t="str">
            <v>2022</v>
          </cell>
          <cell r="F972">
            <v>0</v>
          </cell>
          <cell r="G972">
            <v>0</v>
          </cell>
          <cell r="H972">
            <v>0</v>
          </cell>
          <cell r="I972">
            <v>44926</v>
          </cell>
          <cell r="J972">
            <v>0</v>
          </cell>
          <cell r="K972">
            <v>0</v>
          </cell>
        </row>
        <row r="973">
          <cell r="B973" t="str">
            <v>585-800-100</v>
          </cell>
          <cell r="C973" t="str">
            <v>Expenditure</v>
          </cell>
          <cell r="D973" t="str">
            <v>UT - SEWER - ALLOWANCE FOR UNCOLLECTIBLE</v>
          </cell>
          <cell r="E973" t="str">
            <v>2022</v>
          </cell>
          <cell r="F973">
            <v>0</v>
          </cell>
          <cell r="G973">
            <v>0</v>
          </cell>
          <cell r="H973">
            <v>0</v>
          </cell>
          <cell r="I973">
            <v>44926</v>
          </cell>
          <cell r="J973">
            <v>0</v>
          </cell>
          <cell r="K973">
            <v>0</v>
          </cell>
        </row>
        <row r="974">
          <cell r="B974" t="str">
            <v>585-800-110</v>
          </cell>
          <cell r="C974" t="str">
            <v>Expenditure</v>
          </cell>
          <cell r="D974" t="str">
            <v>UT - Sewer - Allowance for Uncollectible</v>
          </cell>
          <cell r="E974" t="str">
            <v>2022</v>
          </cell>
          <cell r="F974">
            <v>0</v>
          </cell>
          <cell r="G974">
            <v>0</v>
          </cell>
          <cell r="H974">
            <v>0</v>
          </cell>
          <cell r="I974">
            <v>44926</v>
          </cell>
          <cell r="J974">
            <v>0</v>
          </cell>
          <cell r="K974">
            <v>0</v>
          </cell>
        </row>
        <row r="975">
          <cell r="B975" t="str">
            <v>585-900-100</v>
          </cell>
          <cell r="C975" t="str">
            <v>Expenditure</v>
          </cell>
          <cell r="D975" t="str">
            <v>UT - SEWER - OTHER</v>
          </cell>
          <cell r="E975" t="str">
            <v>2022</v>
          </cell>
          <cell r="F975">
            <v>0</v>
          </cell>
          <cell r="G975">
            <v>0</v>
          </cell>
          <cell r="H975">
            <v>0</v>
          </cell>
          <cell r="I975">
            <v>44926</v>
          </cell>
          <cell r="J975">
            <v>0</v>
          </cell>
          <cell r="K975">
            <v>0</v>
          </cell>
        </row>
        <row r="976">
          <cell r="B976" t="str">
            <v>585-900-110</v>
          </cell>
          <cell r="C976" t="str">
            <v>Expenditure</v>
          </cell>
          <cell r="D976" t="str">
            <v>UT - Sewer - Other</v>
          </cell>
          <cell r="E976" t="str">
            <v>2022</v>
          </cell>
          <cell r="F976">
            <v>0</v>
          </cell>
          <cell r="G976">
            <v>0</v>
          </cell>
          <cell r="H976">
            <v>0</v>
          </cell>
          <cell r="I976">
            <v>44926</v>
          </cell>
          <cell r="J976">
            <v>0</v>
          </cell>
          <cell r="K976">
            <v>0</v>
          </cell>
        </row>
        <row r="977">
          <cell r="B977" t="str">
            <v>590-100-050</v>
          </cell>
          <cell r="C977" t="str">
            <v>Expenditure</v>
          </cell>
          <cell r="D977" t="str">
            <v>TRANSFERS</v>
          </cell>
          <cell r="E977" t="str">
            <v>2022</v>
          </cell>
          <cell r="F977">
            <v>0</v>
          </cell>
          <cell r="G977">
            <v>0</v>
          </cell>
          <cell r="H977">
            <v>0</v>
          </cell>
          <cell r="I977">
            <v>44926</v>
          </cell>
          <cell r="J977">
            <v>0</v>
          </cell>
          <cell r="K977">
            <v>0</v>
          </cell>
        </row>
        <row r="978">
          <cell r="B978" t="str">
            <v>590-100-130</v>
          </cell>
          <cell r="C978" t="str">
            <v>Expenditure</v>
          </cell>
          <cell r="D978" t="str">
            <v>Transfer to Reserves - Rec Director</v>
          </cell>
          <cell r="E978" t="str">
            <v>2022</v>
          </cell>
          <cell r="F978">
            <v>0</v>
          </cell>
          <cell r="G978">
            <v>0</v>
          </cell>
          <cell r="H978">
            <v>36274.49</v>
          </cell>
          <cell r="I978">
            <v>44926</v>
          </cell>
          <cell r="J978">
            <v>0</v>
          </cell>
        </row>
        <row r="979">
          <cell r="B979" t="str">
            <v>590-100-135</v>
          </cell>
          <cell r="C979" t="str">
            <v>Expenditure</v>
          </cell>
          <cell r="D979" t="str">
            <v>Transfer to Reserves - Parks, CG &amp; SG</v>
          </cell>
          <cell r="E979" t="str">
            <v>2022</v>
          </cell>
          <cell r="F979">
            <v>0</v>
          </cell>
          <cell r="G979">
            <v>0</v>
          </cell>
          <cell r="H979">
            <v>0</v>
          </cell>
          <cell r="I979">
            <v>44926</v>
          </cell>
          <cell r="J979">
            <v>6181.27</v>
          </cell>
          <cell r="K979">
            <v>0</v>
          </cell>
        </row>
        <row r="980">
          <cell r="B980" t="str">
            <v>590-110-100</v>
          </cell>
          <cell r="C980" t="str">
            <v>Expenditure</v>
          </cell>
          <cell r="D980" t="str">
            <v>Transfer to Reserves - GG</v>
          </cell>
          <cell r="E980" t="str">
            <v>2022</v>
          </cell>
          <cell r="F980">
            <v>0</v>
          </cell>
          <cell r="G980">
            <v>0</v>
          </cell>
          <cell r="H980">
            <v>344.7</v>
          </cell>
          <cell r="I980">
            <v>44926</v>
          </cell>
          <cell r="J980">
            <v>35178.370000000003</v>
          </cell>
          <cell r="K980">
            <v>1458.8</v>
          </cell>
        </row>
        <row r="981">
          <cell r="B981" t="str">
            <v>590-110-110</v>
          </cell>
          <cell r="C981" t="str">
            <v>Expenditure</v>
          </cell>
          <cell r="D981" t="str">
            <v>Transfer to Reserves - Fire/EMO</v>
          </cell>
          <cell r="E981" t="str">
            <v>2022</v>
          </cell>
          <cell r="F981">
            <v>0</v>
          </cell>
          <cell r="G981">
            <v>0</v>
          </cell>
          <cell r="H981">
            <v>8000</v>
          </cell>
          <cell r="I981">
            <v>44926</v>
          </cell>
          <cell r="J981">
            <v>13000</v>
          </cell>
          <cell r="K981">
            <v>13000</v>
          </cell>
        </row>
        <row r="982">
          <cell r="B982" t="str">
            <v>590-110-115</v>
          </cell>
          <cell r="C982" t="str">
            <v>Expenditure</v>
          </cell>
          <cell r="D982" t="str">
            <v>Transfer to Reserves - PS</v>
          </cell>
          <cell r="E982" t="str">
            <v>2022</v>
          </cell>
          <cell r="F982">
            <v>0</v>
          </cell>
          <cell r="G982">
            <v>0</v>
          </cell>
          <cell r="H982">
            <v>0</v>
          </cell>
          <cell r="I982">
            <v>44926</v>
          </cell>
          <cell r="J982">
            <v>0</v>
          </cell>
          <cell r="K982">
            <v>0</v>
          </cell>
        </row>
        <row r="983">
          <cell r="B983" t="str">
            <v>590-110-130</v>
          </cell>
          <cell r="C983" t="str">
            <v>Expenditure</v>
          </cell>
          <cell r="D983" t="str">
            <v>Transfer to Reserves - Rec Centre</v>
          </cell>
          <cell r="E983" t="str">
            <v>2022</v>
          </cell>
          <cell r="F983">
            <v>0</v>
          </cell>
          <cell r="G983">
            <v>0</v>
          </cell>
          <cell r="H983">
            <v>202370.86</v>
          </cell>
          <cell r="I983">
            <v>44926</v>
          </cell>
          <cell r="J983">
            <v>72018.990000000005</v>
          </cell>
          <cell r="K983">
            <v>60000</v>
          </cell>
        </row>
        <row r="984">
          <cell r="B984" t="str">
            <v>590-110-140</v>
          </cell>
          <cell r="C984" t="str">
            <v>Expenditure</v>
          </cell>
          <cell r="D984" t="str">
            <v>Transfer to Reserves - Pool</v>
          </cell>
          <cell r="E984" t="str">
            <v>2022</v>
          </cell>
          <cell r="F984">
            <v>0</v>
          </cell>
          <cell r="G984">
            <v>0</v>
          </cell>
          <cell r="H984">
            <v>32645</v>
          </cell>
          <cell r="I984">
            <v>44926</v>
          </cell>
          <cell r="J984">
            <v>86510.36</v>
          </cell>
          <cell r="K984">
            <v>10000</v>
          </cell>
        </row>
        <row r="985">
          <cell r="B985" t="str">
            <v>590-110-145</v>
          </cell>
          <cell r="C985" t="str">
            <v>Expenditure</v>
          </cell>
          <cell r="D985" t="str">
            <v>Transfer to Reserves - PW</v>
          </cell>
          <cell r="E985" t="str">
            <v>2022</v>
          </cell>
          <cell r="F985">
            <v>0</v>
          </cell>
          <cell r="G985">
            <v>0</v>
          </cell>
          <cell r="H985">
            <v>5757.08</v>
          </cell>
          <cell r="I985">
            <v>44926</v>
          </cell>
          <cell r="J985">
            <v>5889.48</v>
          </cell>
          <cell r="K985">
            <v>7094.04</v>
          </cell>
        </row>
        <row r="986">
          <cell r="B986" t="str">
            <v>590-110-150</v>
          </cell>
          <cell r="C986" t="str">
            <v>Expenditure</v>
          </cell>
          <cell r="D986" t="str">
            <v>Transfer to Reserves - Cemetery</v>
          </cell>
          <cell r="E986" t="str">
            <v>2022</v>
          </cell>
          <cell r="F986">
            <v>0</v>
          </cell>
          <cell r="G986">
            <v>0</v>
          </cell>
          <cell r="H986">
            <v>7175</v>
          </cell>
          <cell r="I986">
            <v>44926</v>
          </cell>
          <cell r="J986">
            <v>400</v>
          </cell>
          <cell r="K986">
            <v>2100</v>
          </cell>
        </row>
        <row r="987">
          <cell r="B987" t="str">
            <v>590-110-155</v>
          </cell>
          <cell r="C987" t="str">
            <v>Expenditure</v>
          </cell>
          <cell r="D987" t="str">
            <v>Transfer to Reserves - Gar/Rec</v>
          </cell>
          <cell r="E987" t="str">
            <v>2022</v>
          </cell>
          <cell r="F987">
            <v>0</v>
          </cell>
          <cell r="G987">
            <v>0</v>
          </cell>
          <cell r="H987">
            <v>0</v>
          </cell>
          <cell r="I987">
            <v>44926</v>
          </cell>
          <cell r="J987">
            <v>5764.45</v>
          </cell>
        </row>
        <row r="988">
          <cell r="B988" t="str">
            <v>590-110-170</v>
          </cell>
          <cell r="C988" t="str">
            <v>Expenditure</v>
          </cell>
          <cell r="D988" t="str">
            <v>Transfer to Reserves - Transportation</v>
          </cell>
          <cell r="E988" t="str">
            <v>2022</v>
          </cell>
          <cell r="F988">
            <v>0</v>
          </cell>
          <cell r="G988">
            <v>0</v>
          </cell>
          <cell r="H988">
            <v>40000</v>
          </cell>
          <cell r="I988">
            <v>44926</v>
          </cell>
          <cell r="J988">
            <v>55000</v>
          </cell>
          <cell r="K988">
            <v>40000</v>
          </cell>
        </row>
        <row r="989">
          <cell r="B989" t="str">
            <v>590-110-175</v>
          </cell>
          <cell r="C989" t="str">
            <v>Expenditure</v>
          </cell>
          <cell r="D989" t="str">
            <v>Transfer to Reserves - Water &amp; WTP</v>
          </cell>
          <cell r="E989" t="str">
            <v>2022</v>
          </cell>
          <cell r="F989">
            <v>0</v>
          </cell>
          <cell r="G989">
            <v>0</v>
          </cell>
          <cell r="H989">
            <v>0</v>
          </cell>
          <cell r="I989">
            <v>44926</v>
          </cell>
          <cell r="J989">
            <v>357544</v>
          </cell>
          <cell r="K989">
            <v>100000</v>
          </cell>
        </row>
        <row r="990">
          <cell r="B990" t="str">
            <v>590-110-185</v>
          </cell>
          <cell r="C990" t="str">
            <v>Expenditure</v>
          </cell>
          <cell r="D990" t="str">
            <v>Transfer to Reserves - Equipment</v>
          </cell>
          <cell r="E990" t="str">
            <v>2022</v>
          </cell>
          <cell r="F990">
            <v>0</v>
          </cell>
          <cell r="G990">
            <v>0</v>
          </cell>
          <cell r="H990">
            <v>0</v>
          </cell>
          <cell r="I990">
            <v>44926</v>
          </cell>
          <cell r="J990">
            <v>0</v>
          </cell>
          <cell r="K990">
            <v>0</v>
          </cell>
        </row>
        <row r="991">
          <cell r="B991" t="str">
            <v>590-110-190</v>
          </cell>
          <cell r="C991" t="str">
            <v>Expenditure</v>
          </cell>
          <cell r="D991" t="str">
            <v>Transfer to Reserves - WW &amp; WWTP</v>
          </cell>
          <cell r="E991" t="str">
            <v>2022</v>
          </cell>
          <cell r="F991">
            <v>0</v>
          </cell>
          <cell r="G991">
            <v>0</v>
          </cell>
          <cell r="H991">
            <v>200000</v>
          </cell>
          <cell r="I991">
            <v>44926</v>
          </cell>
          <cell r="J991">
            <v>170000</v>
          </cell>
          <cell r="K991">
            <v>0</v>
          </cell>
        </row>
        <row r="992">
          <cell r="B992" t="str">
            <v>590-110-195</v>
          </cell>
          <cell r="C992" t="str">
            <v>Expenditure</v>
          </cell>
          <cell r="D992" t="str">
            <v>Transfer to Reserves - Streets/Storm Swr</v>
          </cell>
          <cell r="E992" t="str">
            <v>2022</v>
          </cell>
          <cell r="F992">
            <v>0</v>
          </cell>
          <cell r="G992">
            <v>0</v>
          </cell>
          <cell r="H992">
            <v>100000</v>
          </cell>
          <cell r="I992">
            <v>44926</v>
          </cell>
          <cell r="J992">
            <v>135000</v>
          </cell>
          <cell r="K992">
            <v>70411.59</v>
          </cell>
        </row>
        <row r="993">
          <cell r="B993" t="str">
            <v>590-110-205</v>
          </cell>
          <cell r="C993" t="str">
            <v>Expenditure</v>
          </cell>
          <cell r="D993" t="str">
            <v>Transfer to Reserves - P&amp;D</v>
          </cell>
          <cell r="E993" t="str">
            <v>2022</v>
          </cell>
          <cell r="F993">
            <v>0</v>
          </cell>
          <cell r="G993">
            <v>0</v>
          </cell>
          <cell r="H993">
            <v>95000</v>
          </cell>
          <cell r="I993">
            <v>44926</v>
          </cell>
          <cell r="J993">
            <v>48660</v>
          </cell>
          <cell r="K993">
            <v>0</v>
          </cell>
        </row>
        <row r="994">
          <cell r="B994" t="str">
            <v>590-110-210</v>
          </cell>
          <cell r="C994" t="str">
            <v>Expenditure</v>
          </cell>
          <cell r="D994" t="str">
            <v>Transfer to Reserves - Building Maint</v>
          </cell>
          <cell r="E994" t="str">
            <v>2022</v>
          </cell>
          <cell r="F994">
            <v>0</v>
          </cell>
          <cell r="G994">
            <v>0</v>
          </cell>
          <cell r="H994">
            <v>0</v>
          </cell>
          <cell r="I994">
            <v>44926</v>
          </cell>
          <cell r="J994">
            <v>12000</v>
          </cell>
        </row>
        <row r="995">
          <cell r="B995" t="str">
            <v>590-110-215</v>
          </cell>
          <cell r="C995" t="str">
            <v>Expenditure</v>
          </cell>
          <cell r="D995" t="str">
            <v>Transfer to Reserves - Recreation</v>
          </cell>
          <cell r="E995" t="str">
            <v>2022</v>
          </cell>
          <cell r="F995">
            <v>0</v>
          </cell>
          <cell r="G995">
            <v>0</v>
          </cell>
          <cell r="H995">
            <v>0</v>
          </cell>
          <cell r="I995">
            <v>44926</v>
          </cell>
          <cell r="J995">
            <v>0</v>
          </cell>
        </row>
        <row r="996">
          <cell r="B996" t="str">
            <v>590-120-100</v>
          </cell>
          <cell r="C996" t="str">
            <v>Expenditure</v>
          </cell>
          <cell r="D996" t="str">
            <v>Transfer to Surplus</v>
          </cell>
          <cell r="E996" t="str">
            <v>2022</v>
          </cell>
          <cell r="F996">
            <v>0</v>
          </cell>
          <cell r="G996">
            <v>0</v>
          </cell>
          <cell r="H996">
            <v>0</v>
          </cell>
          <cell r="I996">
            <v>44926</v>
          </cell>
          <cell r="J996">
            <v>0</v>
          </cell>
          <cell r="K996">
            <v>0</v>
          </cell>
        </row>
        <row r="997">
          <cell r="B997" t="str">
            <v>590-130-100</v>
          </cell>
          <cell r="C997" t="str">
            <v>Expenditure</v>
          </cell>
          <cell r="D997" t="str">
            <v>Transfer to Allowances</v>
          </cell>
          <cell r="E997" t="str">
            <v>2022</v>
          </cell>
          <cell r="F997">
            <v>0</v>
          </cell>
          <cell r="G997">
            <v>0</v>
          </cell>
          <cell r="H997">
            <v>0</v>
          </cell>
          <cell r="I997">
            <v>44926</v>
          </cell>
          <cell r="J997">
            <v>0</v>
          </cell>
          <cell r="K997">
            <v>0</v>
          </cell>
        </row>
        <row r="998">
          <cell r="B998" t="str">
            <v>590-140-100</v>
          </cell>
          <cell r="C998" t="str">
            <v>Expenditure</v>
          </cell>
          <cell r="D998" t="str">
            <v>Transfer to Capital Fund</v>
          </cell>
          <cell r="E998" t="str">
            <v>2022</v>
          </cell>
          <cell r="F998">
            <v>0</v>
          </cell>
          <cell r="G998">
            <v>0</v>
          </cell>
          <cell r="H998">
            <v>0</v>
          </cell>
          <cell r="I998">
            <v>44926</v>
          </cell>
          <cell r="J998">
            <v>0</v>
          </cell>
          <cell r="K998">
            <v>0</v>
          </cell>
        </row>
        <row r="999">
          <cell r="B999" t="str">
            <v>590-150-100</v>
          </cell>
          <cell r="C999" t="str">
            <v>Expenditure</v>
          </cell>
          <cell r="D999" t="str">
            <v>Transfer to Capital Trust</v>
          </cell>
          <cell r="E999" t="str">
            <v>2022</v>
          </cell>
          <cell r="F999">
            <v>0</v>
          </cell>
          <cell r="G999">
            <v>0</v>
          </cell>
          <cell r="H999">
            <v>0</v>
          </cell>
          <cell r="I999">
            <v>44926</v>
          </cell>
          <cell r="J999">
            <v>0</v>
          </cell>
          <cell r="K999">
            <v>0</v>
          </cell>
        </row>
        <row r="1000">
          <cell r="B1000" t="str">
            <v>590-190-100</v>
          </cell>
          <cell r="C1000" t="str">
            <v>Expenditure</v>
          </cell>
          <cell r="D1000" t="str">
            <v>Transfer to Other Funds</v>
          </cell>
          <cell r="E1000" t="str">
            <v>2022</v>
          </cell>
          <cell r="F1000">
            <v>0</v>
          </cell>
          <cell r="G1000">
            <v>0</v>
          </cell>
          <cell r="H1000">
            <v>0</v>
          </cell>
          <cell r="I1000">
            <v>44926</v>
          </cell>
          <cell r="J1000">
            <v>0</v>
          </cell>
          <cell r="K1000">
            <v>0</v>
          </cell>
        </row>
        <row r="1001">
          <cell r="B1001" t="str">
            <v>590-500-100</v>
          </cell>
          <cell r="C1001" t="str">
            <v>Expenditure</v>
          </cell>
          <cell r="D1001" t="str">
            <v>Transfer to Municipal Utilities</v>
          </cell>
          <cell r="E1001" t="str">
            <v>2022</v>
          </cell>
          <cell r="F1001">
            <v>0</v>
          </cell>
          <cell r="G1001">
            <v>0</v>
          </cell>
          <cell r="H1001">
            <v>0</v>
          </cell>
          <cell r="I1001">
            <v>44926</v>
          </cell>
          <cell r="J1001">
            <v>0</v>
          </cell>
          <cell r="K1001">
            <v>0</v>
          </cell>
        </row>
        <row r="1002">
          <cell r="B1002" t="str">
            <v>590-900-100</v>
          </cell>
          <cell r="C1002" t="str">
            <v>Expenditure</v>
          </cell>
          <cell r="D1002" t="str">
            <v>Other</v>
          </cell>
          <cell r="E1002" t="str">
            <v>2022</v>
          </cell>
          <cell r="F1002">
            <v>0</v>
          </cell>
          <cell r="G1002">
            <v>0</v>
          </cell>
          <cell r="H1002">
            <v>0</v>
          </cell>
          <cell r="I1002">
            <v>44926</v>
          </cell>
          <cell r="J1002">
            <v>0</v>
          </cell>
          <cell r="K1002">
            <v>0</v>
          </cell>
        </row>
        <row r="1003">
          <cell r="B1003" t="str">
            <v>593-100-050</v>
          </cell>
          <cell r="C1003" t="str">
            <v>Expenditure</v>
          </cell>
          <cell r="D1003" t="str">
            <v>CHANGE IN NON-FINANCIAL ASSETS</v>
          </cell>
          <cell r="E1003" t="str">
            <v>2022</v>
          </cell>
          <cell r="F1003">
            <v>0</v>
          </cell>
          <cell r="G1003">
            <v>0</v>
          </cell>
          <cell r="H1003">
            <v>0</v>
          </cell>
          <cell r="I1003">
            <v>44926</v>
          </cell>
          <cell r="J1003">
            <v>0</v>
          </cell>
          <cell r="K1003">
            <v>0</v>
          </cell>
        </row>
        <row r="1004">
          <cell r="B1004" t="str">
            <v>593-110-110</v>
          </cell>
          <cell r="C1004" t="str">
            <v>Expenditure</v>
          </cell>
          <cell r="D1004" t="str">
            <v>Change in Prepayments &amp; Deferred Charges</v>
          </cell>
          <cell r="E1004" t="str">
            <v>2022</v>
          </cell>
          <cell r="F1004">
            <v>0</v>
          </cell>
          <cell r="G1004">
            <v>0</v>
          </cell>
          <cell r="H1004">
            <v>0</v>
          </cell>
          <cell r="I1004">
            <v>44926</v>
          </cell>
          <cell r="J1004">
            <v>0</v>
          </cell>
          <cell r="K1004">
            <v>0</v>
          </cell>
        </row>
        <row r="1005">
          <cell r="B1005" t="str">
            <v>593-110-200</v>
          </cell>
          <cell r="C1005" t="str">
            <v>Expenditure</v>
          </cell>
          <cell r="D1005" t="str">
            <v>Change in Stock &amp; Supplies</v>
          </cell>
          <cell r="E1005" t="str">
            <v>2022</v>
          </cell>
          <cell r="F1005">
            <v>0</v>
          </cell>
          <cell r="G1005">
            <v>0</v>
          </cell>
          <cell r="H1005">
            <v>0</v>
          </cell>
          <cell r="I1005">
            <v>44926</v>
          </cell>
          <cell r="J1005">
            <v>0</v>
          </cell>
          <cell r="K1005">
            <v>0</v>
          </cell>
        </row>
        <row r="1006">
          <cell r="B1006" t="str">
            <v>593-110-300</v>
          </cell>
          <cell r="C1006" t="str">
            <v>Expenditure</v>
          </cell>
          <cell r="D1006" t="str">
            <v>Change in Other Non-Financial Assets</v>
          </cell>
          <cell r="E1006" t="str">
            <v>2022</v>
          </cell>
          <cell r="F1006">
            <v>0</v>
          </cell>
          <cell r="G1006">
            <v>0</v>
          </cell>
          <cell r="H1006">
            <v>0</v>
          </cell>
          <cell r="I1006">
            <v>44926</v>
          </cell>
          <cell r="J1006">
            <v>0</v>
          </cell>
          <cell r="K1006">
            <v>0</v>
          </cell>
        </row>
        <row r="1007">
          <cell r="B1007" t="str">
            <v>595-100-050</v>
          </cell>
          <cell r="C1007" t="str">
            <v>Expenditure</v>
          </cell>
          <cell r="D1007" t="str">
            <v>LONG TERM DEBT REPAID</v>
          </cell>
          <cell r="E1007" t="str">
            <v>2022</v>
          </cell>
          <cell r="F1007">
            <v>0</v>
          </cell>
          <cell r="G1007">
            <v>0</v>
          </cell>
          <cell r="H1007">
            <v>0</v>
          </cell>
          <cell r="I1007">
            <v>44926</v>
          </cell>
          <cell r="J1007">
            <v>0</v>
          </cell>
          <cell r="K1007">
            <v>0</v>
          </cell>
        </row>
        <row r="1008">
          <cell r="B1008" t="str">
            <v>595-100-100</v>
          </cell>
          <cell r="C1008" t="str">
            <v>Expenditure</v>
          </cell>
          <cell r="D1008" t="str">
            <v>Long Term Debt Repaid</v>
          </cell>
          <cell r="E1008" t="str">
            <v>2022</v>
          </cell>
          <cell r="F1008">
            <v>0</v>
          </cell>
          <cell r="G1008">
            <v>0</v>
          </cell>
          <cell r="H1008">
            <v>0</v>
          </cell>
          <cell r="I1008">
            <v>44926</v>
          </cell>
          <cell r="J1008">
            <v>0</v>
          </cell>
          <cell r="K1008">
            <v>0</v>
          </cell>
        </row>
        <row r="1009">
          <cell r="B1009" t="str">
            <v>600-100-050</v>
          </cell>
          <cell r="C1009" t="str">
            <v>Non-Ledger</v>
          </cell>
          <cell r="D1009" t="str">
            <v>CAPITAL FUND</v>
          </cell>
          <cell r="E1009" t="str">
            <v>2022</v>
          </cell>
          <cell r="F1009">
            <v>0</v>
          </cell>
          <cell r="G1009">
            <v>0</v>
          </cell>
          <cell r="H1009">
            <v>0</v>
          </cell>
          <cell r="I1009">
            <v>44926</v>
          </cell>
          <cell r="J1009">
            <v>0</v>
          </cell>
          <cell r="K1009">
            <v>0</v>
          </cell>
        </row>
        <row r="1010">
          <cell r="B1010" t="str">
            <v>610-100-110</v>
          </cell>
          <cell r="C1010" t="str">
            <v>Asset</v>
          </cell>
          <cell r="D1010" t="str">
            <v>CF - Cash on Deposit</v>
          </cell>
          <cell r="E1010" t="str">
            <v>2022</v>
          </cell>
          <cell r="F1010">
            <v>0</v>
          </cell>
          <cell r="G1010">
            <v>0</v>
          </cell>
          <cell r="H1010">
            <v>0</v>
          </cell>
          <cell r="I1010">
            <v>44926</v>
          </cell>
          <cell r="J1010">
            <v>0</v>
          </cell>
          <cell r="K1010">
            <v>0</v>
          </cell>
        </row>
        <row r="1011">
          <cell r="B1011" t="str">
            <v>610-200-100</v>
          </cell>
          <cell r="C1011" t="str">
            <v>Asset</v>
          </cell>
          <cell r="D1011" t="str">
            <v>CF - Receivables - General</v>
          </cell>
          <cell r="E1011" t="str">
            <v>2022</v>
          </cell>
          <cell r="F1011">
            <v>0</v>
          </cell>
          <cell r="G1011">
            <v>0</v>
          </cell>
          <cell r="H1011">
            <v>0</v>
          </cell>
          <cell r="I1011">
            <v>44926</v>
          </cell>
          <cell r="J1011">
            <v>0</v>
          </cell>
          <cell r="K1011">
            <v>0</v>
          </cell>
        </row>
        <row r="1012">
          <cell r="B1012" t="str">
            <v>610-200-120</v>
          </cell>
          <cell r="C1012" t="str">
            <v>Asset</v>
          </cell>
          <cell r="D1012" t="str">
            <v>CF - Receivables - Due from Revenue Fund</v>
          </cell>
          <cell r="E1012" t="str">
            <v>2022</v>
          </cell>
          <cell r="F1012">
            <v>0</v>
          </cell>
          <cell r="G1012">
            <v>0</v>
          </cell>
          <cell r="H1012">
            <v>0</v>
          </cell>
          <cell r="I1012">
            <v>44926</v>
          </cell>
          <cell r="J1012">
            <v>0</v>
          </cell>
          <cell r="K1012">
            <v>0</v>
          </cell>
        </row>
        <row r="1013">
          <cell r="B1013" t="str">
            <v>610-200-130</v>
          </cell>
          <cell r="C1013" t="str">
            <v>Asset</v>
          </cell>
          <cell r="D1013" t="str">
            <v>CF - Receivables - Due from CTF</v>
          </cell>
          <cell r="E1013" t="str">
            <v>2022</v>
          </cell>
          <cell r="F1013">
            <v>0</v>
          </cell>
          <cell r="G1013">
            <v>0</v>
          </cell>
          <cell r="H1013">
            <v>0</v>
          </cell>
          <cell r="I1013">
            <v>44926</v>
          </cell>
          <cell r="J1013">
            <v>0</v>
          </cell>
          <cell r="K1013">
            <v>0</v>
          </cell>
        </row>
        <row r="1014">
          <cell r="B1014" t="str">
            <v>610-300-110</v>
          </cell>
          <cell r="C1014" t="str">
            <v>Asset</v>
          </cell>
          <cell r="D1014" t="str">
            <v>CF - Investments</v>
          </cell>
          <cell r="E1014" t="str">
            <v>2022</v>
          </cell>
          <cell r="F1014">
            <v>0</v>
          </cell>
          <cell r="G1014">
            <v>0</v>
          </cell>
          <cell r="H1014">
            <v>0</v>
          </cell>
          <cell r="I1014">
            <v>44926</v>
          </cell>
          <cell r="J1014">
            <v>0</v>
          </cell>
          <cell r="K1014">
            <v>0</v>
          </cell>
        </row>
        <row r="1015">
          <cell r="B1015" t="str">
            <v>610-400-100</v>
          </cell>
          <cell r="C1015" t="str">
            <v>Asset</v>
          </cell>
          <cell r="D1015" t="str">
            <v>CF - Loans Due from Revenue Fund</v>
          </cell>
          <cell r="E1015" t="str">
            <v>2022</v>
          </cell>
          <cell r="F1015">
            <v>0</v>
          </cell>
          <cell r="G1015">
            <v>0</v>
          </cell>
          <cell r="H1015">
            <v>0</v>
          </cell>
          <cell r="I1015">
            <v>44926</v>
          </cell>
          <cell r="J1015">
            <v>0</v>
          </cell>
          <cell r="K1015">
            <v>0</v>
          </cell>
        </row>
        <row r="1016">
          <cell r="B1016" t="str">
            <v>610-400-110</v>
          </cell>
          <cell r="C1016" t="str">
            <v>Asset</v>
          </cell>
          <cell r="D1016" t="str">
            <v>CF - Loans Due from CTF</v>
          </cell>
          <cell r="E1016" t="str">
            <v>2022</v>
          </cell>
          <cell r="F1016">
            <v>0</v>
          </cell>
          <cell r="G1016">
            <v>0</v>
          </cell>
          <cell r="H1016">
            <v>0</v>
          </cell>
          <cell r="I1016">
            <v>44926</v>
          </cell>
          <cell r="J1016">
            <v>0</v>
          </cell>
          <cell r="K1016">
            <v>0</v>
          </cell>
        </row>
        <row r="1017">
          <cell r="B1017" t="str">
            <v>610-500-100</v>
          </cell>
          <cell r="C1017" t="str">
            <v>Asset</v>
          </cell>
          <cell r="D1017" t="str">
            <v>CF - Capital Assets</v>
          </cell>
          <cell r="E1017" t="str">
            <v>2022</v>
          </cell>
          <cell r="F1017">
            <v>0</v>
          </cell>
          <cell r="G1017">
            <v>0</v>
          </cell>
          <cell r="H1017">
            <v>0</v>
          </cell>
          <cell r="I1017">
            <v>44926</v>
          </cell>
          <cell r="J1017">
            <v>0</v>
          </cell>
          <cell r="K1017">
            <v>0</v>
          </cell>
        </row>
        <row r="1018">
          <cell r="B1018" t="str">
            <v>610-600-100</v>
          </cell>
          <cell r="C1018" t="str">
            <v>Asset</v>
          </cell>
          <cell r="D1018" t="str">
            <v>CF - Other Tangible Assets</v>
          </cell>
          <cell r="E1018" t="str">
            <v>2022</v>
          </cell>
          <cell r="F1018">
            <v>0</v>
          </cell>
          <cell r="G1018">
            <v>0</v>
          </cell>
          <cell r="H1018">
            <v>0</v>
          </cell>
          <cell r="I1018">
            <v>44926</v>
          </cell>
          <cell r="J1018">
            <v>0</v>
          </cell>
          <cell r="K1018">
            <v>0</v>
          </cell>
        </row>
        <row r="1019">
          <cell r="B1019" t="str">
            <v>620-100-100</v>
          </cell>
          <cell r="C1019" t="str">
            <v>Liability</v>
          </cell>
          <cell r="D1019" t="str">
            <v>CF - Short Term Loans</v>
          </cell>
          <cell r="E1019" t="str">
            <v>2022</v>
          </cell>
          <cell r="F1019">
            <v>0</v>
          </cell>
          <cell r="G1019">
            <v>0</v>
          </cell>
          <cell r="H1019">
            <v>0</v>
          </cell>
          <cell r="I1019">
            <v>44926</v>
          </cell>
          <cell r="J1019">
            <v>0</v>
          </cell>
          <cell r="K1019">
            <v>0</v>
          </cell>
        </row>
        <row r="1020">
          <cell r="B1020" t="str">
            <v>620-200-100</v>
          </cell>
          <cell r="C1020" t="str">
            <v>Liability</v>
          </cell>
          <cell r="D1020" t="str">
            <v>CF - Due to Revenue Fund - Short Term</v>
          </cell>
          <cell r="E1020" t="str">
            <v>2022</v>
          </cell>
          <cell r="F1020">
            <v>0</v>
          </cell>
          <cell r="G1020">
            <v>0</v>
          </cell>
          <cell r="H1020">
            <v>0</v>
          </cell>
          <cell r="I1020">
            <v>44926</v>
          </cell>
          <cell r="J1020">
            <v>0</v>
          </cell>
          <cell r="K1020">
            <v>0</v>
          </cell>
        </row>
        <row r="1021">
          <cell r="B1021" t="str">
            <v>620-200-110</v>
          </cell>
          <cell r="C1021" t="str">
            <v>Liability</v>
          </cell>
          <cell r="D1021" t="str">
            <v>CF - Due to CTF - Short Term</v>
          </cell>
          <cell r="E1021" t="str">
            <v>2022</v>
          </cell>
          <cell r="F1021">
            <v>0</v>
          </cell>
          <cell r="G1021">
            <v>0</v>
          </cell>
          <cell r="H1021">
            <v>0</v>
          </cell>
          <cell r="I1021">
            <v>44926</v>
          </cell>
          <cell r="J1021">
            <v>0</v>
          </cell>
          <cell r="K1021">
            <v>0</v>
          </cell>
        </row>
        <row r="1022">
          <cell r="B1022" t="str">
            <v>620-300-100</v>
          </cell>
          <cell r="C1022" t="str">
            <v>Liability</v>
          </cell>
          <cell r="D1022" t="str">
            <v>CF - General Payables</v>
          </cell>
          <cell r="E1022" t="str">
            <v>2022</v>
          </cell>
          <cell r="F1022">
            <v>0</v>
          </cell>
          <cell r="G1022">
            <v>0</v>
          </cell>
          <cell r="H1022">
            <v>0</v>
          </cell>
          <cell r="I1022">
            <v>44926</v>
          </cell>
          <cell r="J1022">
            <v>0</v>
          </cell>
          <cell r="K1022">
            <v>0</v>
          </cell>
        </row>
        <row r="1023">
          <cell r="B1023" t="str">
            <v>620-400-100</v>
          </cell>
          <cell r="C1023" t="str">
            <v>Liability</v>
          </cell>
          <cell r="D1023" t="str">
            <v>CF - Other Liabilities</v>
          </cell>
          <cell r="E1023" t="str">
            <v>2022</v>
          </cell>
          <cell r="F1023">
            <v>0</v>
          </cell>
          <cell r="G1023">
            <v>0</v>
          </cell>
          <cell r="H1023">
            <v>0</v>
          </cell>
          <cell r="I1023">
            <v>44926</v>
          </cell>
          <cell r="J1023">
            <v>0</v>
          </cell>
          <cell r="K1023">
            <v>0</v>
          </cell>
        </row>
        <row r="1024">
          <cell r="B1024" t="str">
            <v>620-500-100</v>
          </cell>
          <cell r="C1024" t="str">
            <v>Liability</v>
          </cell>
          <cell r="D1024" t="str">
            <v>CF - Debentures &amp; Loans</v>
          </cell>
          <cell r="E1024" t="str">
            <v>2022</v>
          </cell>
          <cell r="F1024">
            <v>0</v>
          </cell>
          <cell r="G1024">
            <v>0</v>
          </cell>
          <cell r="H1024">
            <v>0</v>
          </cell>
          <cell r="I1024">
            <v>44926</v>
          </cell>
          <cell r="J1024">
            <v>0</v>
          </cell>
          <cell r="K1024">
            <v>0</v>
          </cell>
        </row>
        <row r="1025">
          <cell r="B1025" t="str">
            <v>620-600-100</v>
          </cell>
          <cell r="C1025" t="str">
            <v>Liability</v>
          </cell>
          <cell r="D1025" t="str">
            <v>CF - Due to Revenue Fund - Long Term</v>
          </cell>
          <cell r="E1025" t="str">
            <v>2022</v>
          </cell>
          <cell r="F1025">
            <v>0</v>
          </cell>
          <cell r="G1025">
            <v>0</v>
          </cell>
          <cell r="H1025">
            <v>0</v>
          </cell>
          <cell r="I1025">
            <v>44926</v>
          </cell>
          <cell r="J1025">
            <v>0</v>
          </cell>
          <cell r="K1025">
            <v>0</v>
          </cell>
        </row>
        <row r="1026">
          <cell r="B1026" t="str">
            <v>620-600-110</v>
          </cell>
          <cell r="C1026" t="str">
            <v>Liability</v>
          </cell>
          <cell r="D1026" t="str">
            <v>CF - Due to CTF - Long Term</v>
          </cell>
          <cell r="E1026" t="str">
            <v>2022</v>
          </cell>
          <cell r="F1026">
            <v>0</v>
          </cell>
          <cell r="G1026">
            <v>0</v>
          </cell>
          <cell r="H1026">
            <v>0</v>
          </cell>
          <cell r="I1026">
            <v>44926</v>
          </cell>
          <cell r="J1026">
            <v>0</v>
          </cell>
          <cell r="K1026">
            <v>0</v>
          </cell>
        </row>
        <row r="1027">
          <cell r="B1027" t="str">
            <v>620-700-100</v>
          </cell>
          <cell r="C1027" t="str">
            <v>Liability</v>
          </cell>
          <cell r="D1027" t="str">
            <v>CF - Investment/Other</v>
          </cell>
          <cell r="E1027" t="str">
            <v>2022</v>
          </cell>
          <cell r="F1027">
            <v>0</v>
          </cell>
          <cell r="G1027">
            <v>0</v>
          </cell>
          <cell r="H1027">
            <v>0</v>
          </cell>
          <cell r="I1027">
            <v>44926</v>
          </cell>
          <cell r="J1027">
            <v>0</v>
          </cell>
          <cell r="K1027">
            <v>0</v>
          </cell>
        </row>
        <row r="1028">
          <cell r="B1028" t="str">
            <v>620-800-100</v>
          </cell>
          <cell r="C1028" t="str">
            <v>Liability</v>
          </cell>
          <cell r="D1028" t="str">
            <v>CF - Equity in Capital Fund Assets</v>
          </cell>
          <cell r="E1028" t="str">
            <v>2022</v>
          </cell>
          <cell r="F1028">
            <v>0</v>
          </cell>
          <cell r="G1028">
            <v>0</v>
          </cell>
          <cell r="H1028">
            <v>0</v>
          </cell>
          <cell r="I1028">
            <v>44926</v>
          </cell>
          <cell r="J1028">
            <v>0</v>
          </cell>
          <cell r="K1028">
            <v>0</v>
          </cell>
        </row>
        <row r="1029">
          <cell r="B1029" t="str">
            <v>640-100-050</v>
          </cell>
          <cell r="C1029" t="str">
            <v>Revenue</v>
          </cell>
          <cell r="D1029" t="str">
            <v>CAPITAL SOURCES</v>
          </cell>
          <cell r="E1029" t="str">
            <v>2022</v>
          </cell>
          <cell r="F1029">
            <v>0</v>
          </cell>
          <cell r="G1029">
            <v>0</v>
          </cell>
          <cell r="H1029">
            <v>0</v>
          </cell>
          <cell r="I1029">
            <v>44926</v>
          </cell>
          <cell r="J1029">
            <v>0</v>
          </cell>
          <cell r="K1029">
            <v>0</v>
          </cell>
        </row>
        <row r="1030">
          <cell r="B1030" t="str">
            <v>640-110-100</v>
          </cell>
          <cell r="C1030" t="str">
            <v>Revenue</v>
          </cell>
          <cell r="D1030" t="str">
            <v>Local Improvement Charges</v>
          </cell>
          <cell r="E1030" t="str">
            <v>2022</v>
          </cell>
          <cell r="F1030">
            <v>0</v>
          </cell>
          <cell r="G1030">
            <v>0</v>
          </cell>
          <cell r="H1030">
            <v>0</v>
          </cell>
          <cell r="I1030">
            <v>44926</v>
          </cell>
          <cell r="J1030">
            <v>0</v>
          </cell>
          <cell r="K1030">
            <v>0</v>
          </cell>
        </row>
        <row r="1031">
          <cell r="B1031" t="str">
            <v>640-120-100</v>
          </cell>
          <cell r="C1031" t="str">
            <v>Revenue</v>
          </cell>
          <cell r="D1031" t="str">
            <v>Land Sales (Municipal)</v>
          </cell>
          <cell r="E1031" t="str">
            <v>2022</v>
          </cell>
          <cell r="F1031">
            <v>0</v>
          </cell>
          <cell r="G1031">
            <v>0</v>
          </cell>
          <cell r="H1031">
            <v>0</v>
          </cell>
          <cell r="I1031">
            <v>44926</v>
          </cell>
          <cell r="J1031">
            <v>0</v>
          </cell>
          <cell r="K1031">
            <v>0</v>
          </cell>
        </row>
        <row r="1032">
          <cell r="B1032" t="str">
            <v>640-130-100</v>
          </cell>
          <cell r="C1032" t="str">
            <v>Revenue</v>
          </cell>
          <cell r="D1032" t="str">
            <v>Long-Term Borrowing</v>
          </cell>
          <cell r="E1032" t="str">
            <v>2022</v>
          </cell>
          <cell r="F1032">
            <v>0</v>
          </cell>
          <cell r="G1032">
            <v>0</v>
          </cell>
          <cell r="H1032">
            <v>0</v>
          </cell>
          <cell r="I1032">
            <v>44926</v>
          </cell>
          <cell r="J1032">
            <v>0</v>
          </cell>
          <cell r="K1032">
            <v>0</v>
          </cell>
        </row>
        <row r="1033">
          <cell r="B1033" t="str">
            <v>640-140-100</v>
          </cell>
          <cell r="C1033" t="str">
            <v>Revenue</v>
          </cell>
          <cell r="D1033" t="str">
            <v>Operating Revenue</v>
          </cell>
          <cell r="E1033" t="str">
            <v>2022</v>
          </cell>
          <cell r="F1033">
            <v>0</v>
          </cell>
          <cell r="G1033">
            <v>0</v>
          </cell>
          <cell r="H1033">
            <v>0</v>
          </cell>
          <cell r="I1033">
            <v>44926</v>
          </cell>
          <cell r="J1033">
            <v>0</v>
          </cell>
          <cell r="K1033">
            <v>0</v>
          </cell>
        </row>
        <row r="1034">
          <cell r="B1034" t="str">
            <v>640-150-100</v>
          </cell>
          <cell r="C1034" t="str">
            <v>Revenue</v>
          </cell>
          <cell r="D1034" t="str">
            <v>Capital Trust Fund</v>
          </cell>
          <cell r="E1034" t="str">
            <v>2022</v>
          </cell>
          <cell r="F1034">
            <v>0</v>
          </cell>
          <cell r="G1034">
            <v>0</v>
          </cell>
          <cell r="H1034">
            <v>0</v>
          </cell>
          <cell r="I1034">
            <v>44926</v>
          </cell>
          <cell r="J1034">
            <v>0</v>
          </cell>
          <cell r="K1034">
            <v>0</v>
          </cell>
        </row>
        <row r="1035">
          <cell r="B1035" t="str">
            <v>640-160-100</v>
          </cell>
          <cell r="C1035" t="str">
            <v>Revenue</v>
          </cell>
          <cell r="D1035" t="str">
            <v>From Internal Transfers</v>
          </cell>
          <cell r="E1035" t="str">
            <v>2022</v>
          </cell>
          <cell r="F1035">
            <v>0</v>
          </cell>
          <cell r="G1035">
            <v>0</v>
          </cell>
          <cell r="H1035">
            <v>0</v>
          </cell>
          <cell r="I1035">
            <v>44926</v>
          </cell>
          <cell r="J1035">
            <v>0</v>
          </cell>
          <cell r="K1035">
            <v>0</v>
          </cell>
        </row>
        <row r="1036">
          <cell r="B1036" t="str">
            <v>650-100-050</v>
          </cell>
          <cell r="C1036" t="str">
            <v>Expenditure</v>
          </cell>
          <cell r="D1036" t="str">
            <v>CAPITAL USES</v>
          </cell>
          <cell r="E1036" t="str">
            <v>2022</v>
          </cell>
          <cell r="F1036">
            <v>0</v>
          </cell>
          <cell r="G1036">
            <v>0</v>
          </cell>
          <cell r="H1036">
            <v>0</v>
          </cell>
          <cell r="I1036">
            <v>44926</v>
          </cell>
          <cell r="J1036">
            <v>0</v>
          </cell>
          <cell r="K1036">
            <v>0</v>
          </cell>
        </row>
        <row r="1037">
          <cell r="B1037" t="str">
            <v>650-100-070</v>
          </cell>
          <cell r="C1037" t="str">
            <v>Expenditure</v>
          </cell>
          <cell r="D1037" t="str">
            <v>ACQUISITION - FIXED ASSETS</v>
          </cell>
          <cell r="E1037" t="str">
            <v>2022</v>
          </cell>
          <cell r="F1037">
            <v>0</v>
          </cell>
          <cell r="G1037">
            <v>0</v>
          </cell>
          <cell r="H1037">
            <v>0</v>
          </cell>
          <cell r="I1037">
            <v>44926</v>
          </cell>
          <cell r="J1037">
            <v>0</v>
          </cell>
          <cell r="K1037">
            <v>0</v>
          </cell>
        </row>
        <row r="1038">
          <cell r="B1038" t="str">
            <v>650-210-100</v>
          </cell>
          <cell r="C1038" t="str">
            <v>Expenditure</v>
          </cell>
          <cell r="D1038" t="str">
            <v>General Municipal</v>
          </cell>
          <cell r="E1038" t="str">
            <v>2022</v>
          </cell>
          <cell r="F1038">
            <v>0</v>
          </cell>
          <cell r="G1038">
            <v>0</v>
          </cell>
          <cell r="H1038">
            <v>0</v>
          </cell>
          <cell r="I1038">
            <v>44926</v>
          </cell>
          <cell r="J1038">
            <v>0</v>
          </cell>
          <cell r="K1038">
            <v>0</v>
          </cell>
        </row>
        <row r="1039">
          <cell r="B1039" t="str">
            <v>650-220-100</v>
          </cell>
          <cell r="C1039" t="str">
            <v>Expenditure</v>
          </cell>
          <cell r="D1039" t="str">
            <v>Transportation Services</v>
          </cell>
          <cell r="E1039" t="str">
            <v>2022</v>
          </cell>
          <cell r="F1039">
            <v>0</v>
          </cell>
          <cell r="G1039">
            <v>0</v>
          </cell>
          <cell r="H1039">
            <v>0</v>
          </cell>
          <cell r="I1039">
            <v>44926</v>
          </cell>
          <cell r="J1039">
            <v>0</v>
          </cell>
          <cell r="K1039">
            <v>0</v>
          </cell>
        </row>
        <row r="1040">
          <cell r="B1040" t="str">
            <v>650-230-100</v>
          </cell>
          <cell r="C1040" t="str">
            <v>Expenditure</v>
          </cell>
          <cell r="D1040" t="str">
            <v>Water and Sewer</v>
          </cell>
          <cell r="E1040" t="str">
            <v>2022</v>
          </cell>
          <cell r="F1040">
            <v>0</v>
          </cell>
          <cell r="G1040">
            <v>0</v>
          </cell>
          <cell r="H1040">
            <v>0</v>
          </cell>
          <cell r="I1040">
            <v>44926</v>
          </cell>
          <cell r="J1040">
            <v>0</v>
          </cell>
          <cell r="K1040">
            <v>0</v>
          </cell>
        </row>
        <row r="1041">
          <cell r="B1041" t="str">
            <v>650-240-100</v>
          </cell>
          <cell r="C1041" t="str">
            <v>Expenditure</v>
          </cell>
          <cell r="D1041" t="str">
            <v>To Internal Transfers</v>
          </cell>
          <cell r="E1041" t="str">
            <v>2022</v>
          </cell>
          <cell r="F1041">
            <v>0</v>
          </cell>
          <cell r="G1041">
            <v>0</v>
          </cell>
          <cell r="H1041">
            <v>0</v>
          </cell>
          <cell r="I1041">
            <v>44926</v>
          </cell>
          <cell r="J1041">
            <v>0</v>
          </cell>
          <cell r="K1041">
            <v>0</v>
          </cell>
        </row>
        <row r="1042">
          <cell r="B1042" t="str">
            <v>700-100-050</v>
          </cell>
          <cell r="C1042" t="str">
            <v>Non-Ledger</v>
          </cell>
          <cell r="D1042" t="str">
            <v>CAPITAL TRUST FUND</v>
          </cell>
          <cell r="E1042" t="str">
            <v>2022</v>
          </cell>
          <cell r="F1042">
            <v>0</v>
          </cell>
          <cell r="G1042">
            <v>0</v>
          </cell>
          <cell r="H1042">
            <v>0</v>
          </cell>
          <cell r="I1042">
            <v>44926</v>
          </cell>
          <cell r="J1042">
            <v>0</v>
          </cell>
          <cell r="K1042">
            <v>0</v>
          </cell>
        </row>
        <row r="1043">
          <cell r="B1043" t="str">
            <v>710-100-100</v>
          </cell>
          <cell r="C1043" t="str">
            <v>Asset</v>
          </cell>
          <cell r="D1043" t="str">
            <v>CTF - Cash in Bank</v>
          </cell>
          <cell r="E1043" t="str">
            <v>2022</v>
          </cell>
          <cell r="F1043">
            <v>0</v>
          </cell>
          <cell r="G1043">
            <v>0</v>
          </cell>
          <cell r="H1043">
            <v>0</v>
          </cell>
          <cell r="I1043">
            <v>44926</v>
          </cell>
          <cell r="J1043">
            <v>0</v>
          </cell>
          <cell r="K1043">
            <v>0</v>
          </cell>
        </row>
        <row r="1044">
          <cell r="B1044" t="str">
            <v>710-100-200</v>
          </cell>
          <cell r="C1044" t="str">
            <v>Asset</v>
          </cell>
          <cell r="D1044" t="str">
            <v>CTF - Cash in Term</v>
          </cell>
          <cell r="E1044" t="str">
            <v>2022</v>
          </cell>
          <cell r="F1044">
            <v>0</v>
          </cell>
          <cell r="G1044">
            <v>0</v>
          </cell>
          <cell r="H1044">
            <v>0</v>
          </cell>
          <cell r="I1044">
            <v>44926</v>
          </cell>
          <cell r="J1044">
            <v>0</v>
          </cell>
          <cell r="K1044">
            <v>0</v>
          </cell>
        </row>
        <row r="1045">
          <cell r="B1045" t="str">
            <v>710-100-300</v>
          </cell>
          <cell r="C1045" t="str">
            <v>Asset</v>
          </cell>
          <cell r="D1045" t="str">
            <v>CTF - Credit Union Shares</v>
          </cell>
          <cell r="E1045" t="str">
            <v>2022</v>
          </cell>
          <cell r="F1045">
            <v>0</v>
          </cell>
          <cell r="G1045">
            <v>0</v>
          </cell>
          <cell r="H1045">
            <v>0</v>
          </cell>
          <cell r="I1045">
            <v>44926</v>
          </cell>
          <cell r="J1045">
            <v>0</v>
          </cell>
          <cell r="K1045">
            <v>0</v>
          </cell>
        </row>
        <row r="1046">
          <cell r="B1046" t="str">
            <v>710-200-100</v>
          </cell>
          <cell r="C1046" t="str">
            <v>Asset</v>
          </cell>
          <cell r="D1046" t="str">
            <v>CTF - Receivable - Due from Revenue Fund</v>
          </cell>
          <cell r="E1046" t="str">
            <v>2022</v>
          </cell>
          <cell r="F1046">
            <v>0</v>
          </cell>
          <cell r="G1046">
            <v>0</v>
          </cell>
          <cell r="H1046">
            <v>0</v>
          </cell>
          <cell r="I1046">
            <v>44926</v>
          </cell>
          <cell r="J1046">
            <v>0</v>
          </cell>
          <cell r="K1046">
            <v>0</v>
          </cell>
        </row>
        <row r="1047">
          <cell r="B1047" t="str">
            <v>710-200-200</v>
          </cell>
          <cell r="C1047" t="str">
            <v>Asset</v>
          </cell>
          <cell r="D1047" t="str">
            <v>CTF - Receivable - Due from CF</v>
          </cell>
          <cell r="E1047" t="str">
            <v>2022</v>
          </cell>
          <cell r="F1047">
            <v>0</v>
          </cell>
          <cell r="G1047">
            <v>0</v>
          </cell>
          <cell r="H1047">
            <v>0</v>
          </cell>
          <cell r="I1047">
            <v>44926</v>
          </cell>
          <cell r="J1047">
            <v>0</v>
          </cell>
          <cell r="K1047">
            <v>0</v>
          </cell>
        </row>
        <row r="1048">
          <cell r="B1048" t="str">
            <v>710-300-100</v>
          </cell>
          <cell r="C1048" t="str">
            <v>Asset</v>
          </cell>
          <cell r="D1048" t="str">
            <v>CTF - Investments</v>
          </cell>
          <cell r="E1048" t="str">
            <v>2022</v>
          </cell>
          <cell r="F1048">
            <v>0</v>
          </cell>
          <cell r="G1048">
            <v>0</v>
          </cell>
          <cell r="H1048">
            <v>0</v>
          </cell>
          <cell r="I1048">
            <v>44926</v>
          </cell>
          <cell r="J1048">
            <v>0</v>
          </cell>
          <cell r="K1048">
            <v>0</v>
          </cell>
        </row>
        <row r="1049">
          <cell r="B1049" t="str">
            <v>710-400-100</v>
          </cell>
          <cell r="C1049" t="str">
            <v>Asset</v>
          </cell>
          <cell r="D1049" t="str">
            <v>CTF - Loans - Due from Revenue Fund</v>
          </cell>
          <cell r="E1049" t="str">
            <v>2022</v>
          </cell>
          <cell r="F1049">
            <v>0</v>
          </cell>
          <cell r="G1049">
            <v>0</v>
          </cell>
          <cell r="H1049">
            <v>0</v>
          </cell>
          <cell r="I1049">
            <v>44926</v>
          </cell>
          <cell r="J1049">
            <v>0</v>
          </cell>
          <cell r="K1049">
            <v>0</v>
          </cell>
        </row>
        <row r="1050">
          <cell r="B1050" t="str">
            <v>710-400-200</v>
          </cell>
          <cell r="C1050" t="str">
            <v>Asset</v>
          </cell>
          <cell r="D1050" t="str">
            <v>CTF - Loans - Due from CF</v>
          </cell>
          <cell r="E1050" t="str">
            <v>2022</v>
          </cell>
          <cell r="F1050">
            <v>0</v>
          </cell>
          <cell r="G1050">
            <v>0</v>
          </cell>
          <cell r="H1050">
            <v>0</v>
          </cell>
          <cell r="I1050">
            <v>44926</v>
          </cell>
          <cell r="J1050">
            <v>0</v>
          </cell>
          <cell r="K1050">
            <v>0</v>
          </cell>
        </row>
        <row r="1051">
          <cell r="B1051" t="str">
            <v>710-500-100</v>
          </cell>
          <cell r="C1051" t="str">
            <v>Asset</v>
          </cell>
          <cell r="D1051" t="str">
            <v>CTF - Tangible Assets</v>
          </cell>
          <cell r="E1051" t="str">
            <v>2022</v>
          </cell>
          <cell r="F1051">
            <v>0</v>
          </cell>
          <cell r="G1051">
            <v>0</v>
          </cell>
          <cell r="H1051">
            <v>0</v>
          </cell>
          <cell r="I1051">
            <v>44926</v>
          </cell>
          <cell r="J1051">
            <v>0</v>
          </cell>
          <cell r="K1051">
            <v>0</v>
          </cell>
        </row>
        <row r="1052">
          <cell r="B1052" t="str">
            <v>710-500-200</v>
          </cell>
          <cell r="C1052" t="str">
            <v>Asset</v>
          </cell>
          <cell r="D1052" t="str">
            <v>CTF - Other Assets</v>
          </cell>
          <cell r="E1052" t="str">
            <v>2022</v>
          </cell>
          <cell r="F1052">
            <v>0</v>
          </cell>
          <cell r="G1052">
            <v>0</v>
          </cell>
          <cell r="H1052">
            <v>0</v>
          </cell>
          <cell r="I1052">
            <v>44926</v>
          </cell>
          <cell r="J1052">
            <v>0</v>
          </cell>
          <cell r="K1052">
            <v>0</v>
          </cell>
        </row>
        <row r="1053">
          <cell r="B1053" t="str">
            <v>720-100-100</v>
          </cell>
          <cell r="C1053" t="str">
            <v>Liability</v>
          </cell>
          <cell r="D1053" t="str">
            <v>CTF - Short Term Loans</v>
          </cell>
          <cell r="E1053" t="str">
            <v>2022</v>
          </cell>
          <cell r="F1053">
            <v>0</v>
          </cell>
          <cell r="G1053">
            <v>0</v>
          </cell>
          <cell r="H1053">
            <v>0</v>
          </cell>
          <cell r="I1053">
            <v>44926</v>
          </cell>
          <cell r="J1053">
            <v>0</v>
          </cell>
          <cell r="K1053">
            <v>0</v>
          </cell>
        </row>
        <row r="1054">
          <cell r="B1054" t="str">
            <v>720-200-100</v>
          </cell>
          <cell r="C1054" t="str">
            <v>Liability</v>
          </cell>
          <cell r="D1054" t="str">
            <v>CTF - Due to Revenue Fund - ST</v>
          </cell>
          <cell r="E1054" t="str">
            <v>2022</v>
          </cell>
          <cell r="F1054">
            <v>0</v>
          </cell>
          <cell r="G1054">
            <v>0</v>
          </cell>
          <cell r="H1054">
            <v>0</v>
          </cell>
          <cell r="I1054">
            <v>44926</v>
          </cell>
          <cell r="J1054">
            <v>0</v>
          </cell>
          <cell r="K1054">
            <v>0</v>
          </cell>
        </row>
        <row r="1055">
          <cell r="B1055" t="str">
            <v>720-200-200</v>
          </cell>
          <cell r="C1055" t="str">
            <v>Liability</v>
          </cell>
          <cell r="D1055" t="str">
            <v>CTF - Due to CF - ST</v>
          </cell>
          <cell r="E1055" t="str">
            <v>2022</v>
          </cell>
          <cell r="F1055">
            <v>0</v>
          </cell>
          <cell r="G1055">
            <v>0</v>
          </cell>
          <cell r="H1055">
            <v>0</v>
          </cell>
          <cell r="I1055">
            <v>44926</v>
          </cell>
          <cell r="J1055">
            <v>0</v>
          </cell>
          <cell r="K1055">
            <v>0</v>
          </cell>
        </row>
        <row r="1056">
          <cell r="B1056" t="str">
            <v>720-300-100</v>
          </cell>
          <cell r="C1056" t="str">
            <v>Liability</v>
          </cell>
          <cell r="D1056" t="str">
            <v>CTF - Payables</v>
          </cell>
          <cell r="E1056" t="str">
            <v>2022</v>
          </cell>
          <cell r="F1056">
            <v>0</v>
          </cell>
          <cell r="G1056">
            <v>0</v>
          </cell>
          <cell r="H1056">
            <v>0</v>
          </cell>
          <cell r="I1056">
            <v>44926</v>
          </cell>
          <cell r="J1056">
            <v>0</v>
          </cell>
          <cell r="K1056">
            <v>0</v>
          </cell>
        </row>
        <row r="1057">
          <cell r="B1057" t="str">
            <v>720-400-100</v>
          </cell>
          <cell r="C1057" t="str">
            <v>Liability</v>
          </cell>
          <cell r="D1057" t="str">
            <v>CTF - Other Liabilities</v>
          </cell>
          <cell r="E1057" t="str">
            <v>2022</v>
          </cell>
          <cell r="F1057">
            <v>0</v>
          </cell>
          <cell r="G1057">
            <v>0</v>
          </cell>
          <cell r="H1057">
            <v>0</v>
          </cell>
          <cell r="I1057">
            <v>44926</v>
          </cell>
          <cell r="J1057">
            <v>0</v>
          </cell>
          <cell r="K1057">
            <v>0</v>
          </cell>
        </row>
        <row r="1058">
          <cell r="B1058" t="str">
            <v>720-500-100</v>
          </cell>
          <cell r="C1058" t="str">
            <v>Liability</v>
          </cell>
          <cell r="D1058" t="str">
            <v>CTF - Due to Revenue Fund - LT</v>
          </cell>
          <cell r="E1058" t="str">
            <v>2022</v>
          </cell>
          <cell r="F1058">
            <v>0</v>
          </cell>
          <cell r="G1058">
            <v>0</v>
          </cell>
          <cell r="H1058">
            <v>0</v>
          </cell>
          <cell r="I1058">
            <v>44926</v>
          </cell>
          <cell r="J1058">
            <v>0</v>
          </cell>
          <cell r="K1058">
            <v>0</v>
          </cell>
        </row>
        <row r="1059">
          <cell r="B1059" t="str">
            <v>720-500-200</v>
          </cell>
          <cell r="C1059" t="str">
            <v>Liability</v>
          </cell>
          <cell r="D1059" t="str">
            <v>CTF - Due to CF - LT</v>
          </cell>
          <cell r="E1059" t="str">
            <v>2022</v>
          </cell>
          <cell r="F1059">
            <v>0</v>
          </cell>
          <cell r="G1059">
            <v>0</v>
          </cell>
          <cell r="H1059">
            <v>0</v>
          </cell>
          <cell r="I1059">
            <v>44926</v>
          </cell>
          <cell r="J1059">
            <v>0</v>
          </cell>
          <cell r="K1059">
            <v>0</v>
          </cell>
        </row>
        <row r="1060">
          <cell r="B1060" t="str">
            <v>720-600-100</v>
          </cell>
          <cell r="C1060" t="str">
            <v>Liability</v>
          </cell>
          <cell r="D1060" t="str">
            <v>CTF - Asset Valuation Allowance</v>
          </cell>
          <cell r="E1060" t="str">
            <v>2022</v>
          </cell>
          <cell r="F1060">
            <v>0</v>
          </cell>
          <cell r="G1060">
            <v>0</v>
          </cell>
          <cell r="H1060">
            <v>0</v>
          </cell>
          <cell r="I1060">
            <v>44926</v>
          </cell>
          <cell r="J1060">
            <v>0</v>
          </cell>
          <cell r="K1060">
            <v>0</v>
          </cell>
        </row>
        <row r="1061">
          <cell r="B1061" t="str">
            <v>720-700-100</v>
          </cell>
          <cell r="C1061" t="str">
            <v>Liability</v>
          </cell>
          <cell r="D1061" t="str">
            <v>CTF - Capital Trust Fund Reserve</v>
          </cell>
          <cell r="E1061" t="str">
            <v>2022</v>
          </cell>
          <cell r="F1061">
            <v>0</v>
          </cell>
          <cell r="G1061">
            <v>0</v>
          </cell>
          <cell r="H1061">
            <v>0</v>
          </cell>
          <cell r="I1061">
            <v>44926</v>
          </cell>
          <cell r="J1061">
            <v>0</v>
          </cell>
          <cell r="K1061">
            <v>0</v>
          </cell>
        </row>
        <row r="1062">
          <cell r="B1062" t="str">
            <v>900-100-050</v>
          </cell>
          <cell r="C1062" t="str">
            <v>Non-Ledger</v>
          </cell>
          <cell r="D1062" t="str">
            <v>STATISTICAL ACCOUNTS</v>
          </cell>
          <cell r="E1062" t="str">
            <v>2022</v>
          </cell>
          <cell r="F1062">
            <v>0</v>
          </cell>
          <cell r="G1062">
            <v>0</v>
          </cell>
          <cell r="H1062">
            <v>0</v>
          </cell>
          <cell r="I1062">
            <v>44926</v>
          </cell>
          <cell r="J1062">
            <v>0</v>
          </cell>
          <cell r="K1062">
            <v>0</v>
          </cell>
        </row>
        <row r="1063">
          <cell r="B1063" t="str">
            <v>900-110-110</v>
          </cell>
          <cell r="C1063" t="str">
            <v>Non-Ledger</v>
          </cell>
          <cell r="D1063" t="str">
            <v>GST Paid</v>
          </cell>
          <cell r="E1063" t="str">
            <v>2022</v>
          </cell>
          <cell r="F1063">
            <v>0</v>
          </cell>
          <cell r="G1063">
            <v>0</v>
          </cell>
          <cell r="H1063">
            <v>0</v>
          </cell>
          <cell r="I1063">
            <v>44926</v>
          </cell>
          <cell r="J1063">
            <v>0</v>
          </cell>
          <cell r="K1063">
            <v>0</v>
          </cell>
        </row>
        <row r="1064">
          <cell r="B1064" t="str">
            <v>900-110-120</v>
          </cell>
          <cell r="C1064" t="str">
            <v>Non-Ledger</v>
          </cell>
          <cell r="D1064" t="str">
            <v>GST Paid - Eligible for 57.14% rebate</v>
          </cell>
          <cell r="E1064" t="str">
            <v>2022</v>
          </cell>
          <cell r="F1064">
            <v>0</v>
          </cell>
          <cell r="G1064">
            <v>0</v>
          </cell>
          <cell r="H1064">
            <v>0</v>
          </cell>
          <cell r="I1064">
            <v>44926</v>
          </cell>
          <cell r="J1064">
            <v>0</v>
          </cell>
          <cell r="K1064">
            <v>0</v>
          </cell>
        </row>
        <row r="1065">
          <cell r="B1065" t="str">
            <v>900-110-130</v>
          </cell>
          <cell r="C1065" t="str">
            <v>Non-Ledger</v>
          </cell>
          <cell r="D1065" t="str">
            <v>GST Paid - Eligible for 100% rebate</v>
          </cell>
          <cell r="E1065" t="str">
            <v>2022</v>
          </cell>
          <cell r="F1065">
            <v>0</v>
          </cell>
          <cell r="G1065">
            <v>0</v>
          </cell>
          <cell r="H1065">
            <v>0</v>
          </cell>
          <cell r="I1065">
            <v>44926</v>
          </cell>
          <cell r="J1065">
            <v>0</v>
          </cell>
          <cell r="K1065">
            <v>0</v>
          </cell>
        </row>
        <row r="1066">
          <cell r="B1066" t="str">
            <v>900-120-100</v>
          </cell>
          <cell r="C1066" t="str">
            <v>Non-Ledger</v>
          </cell>
          <cell r="D1066" t="str">
            <v>PST Purchases</v>
          </cell>
          <cell r="E1066" t="str">
            <v>2022</v>
          </cell>
          <cell r="F1066">
            <v>0</v>
          </cell>
          <cell r="G1066">
            <v>0</v>
          </cell>
          <cell r="H1066">
            <v>0</v>
          </cell>
          <cell r="I1066">
            <v>44926</v>
          </cell>
          <cell r="J1066">
            <v>0</v>
          </cell>
          <cell r="K1066">
            <v>0</v>
          </cell>
        </row>
        <row r="1067">
          <cell r="B1067" t="str">
            <v>999-999-999</v>
          </cell>
          <cell r="C1067" t="str">
            <v>Expenditure</v>
          </cell>
          <cell r="D1067" t="str">
            <v>Delete after conversion</v>
          </cell>
          <cell r="E1067" t="str">
            <v>2022</v>
          </cell>
          <cell r="F1067">
            <v>0</v>
          </cell>
          <cell r="G1067">
            <v>0</v>
          </cell>
          <cell r="H1067">
            <v>0</v>
          </cell>
          <cell r="I1067">
            <v>44926</v>
          </cell>
        </row>
      </sheetData>
      <sheetData sheetId="1">
        <row r="3">
          <cell r="C3">
            <v>2019</v>
          </cell>
          <cell r="D3">
            <v>2020</v>
          </cell>
          <cell r="E3">
            <v>2021</v>
          </cell>
          <cell r="F3">
            <v>2022</v>
          </cell>
          <cell r="G3">
            <v>2021</v>
          </cell>
          <cell r="H3">
            <v>2022</v>
          </cell>
        </row>
        <row r="4">
          <cell r="C4" t="str">
            <v>YTD</v>
          </cell>
          <cell r="D4" t="str">
            <v>YTD</v>
          </cell>
          <cell r="E4" t="str">
            <v>YTD</v>
          </cell>
          <cell r="F4" t="str">
            <v>YTD</v>
          </cell>
          <cell r="G4" t="str">
            <v>Budget</v>
          </cell>
          <cell r="H4" t="str">
            <v>Budget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Kelly Hoare" id="{A885640F-27FC-4027-BD75-F409CA8F5FFF}" userId="S::cao@townofshellbrook.ca::22e9a3f9-b233-4bab-b274-4d7841abf34c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H89" dT="2021-11-09T19:52:49.92" personId="{A885640F-27FC-4027-BD75-F409CA8F5FFF}" id="{AE1BFAB6-6F21-43DF-8C47-7F00472BE246}">
    <text>Sask Housing predicts our share will be around $5,000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H59" dT="2021-11-03T16:17:05.54" personId="{A885640F-27FC-4027-BD75-F409CA8F5FFF}" id="{181152D6-D776-49C6-9F31-C7732857BB96}">
    <text>Pool Liner &amp; non slip flooring</text>
  </threadedComment>
  <threadedComment ref="H60" dT="2021-11-03T15:22:40.96" personId="{A885640F-27FC-4027-BD75-F409CA8F5FFF}" id="{2D53D92B-279C-4266-AF8B-72711ADB9398}">
    <text>$10,000 per policy.   $5,000 for future liner replacement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H25" dT="2021-11-15T20:54:10.20" personId="{A885640F-27FC-4027-BD75-F409CA8F5FFF}" id="{24F06F73-8BA3-4BD6-80F6-16D84B97E310}">
    <text>Includes $5,000 for trees</text>
  </threadedComment>
</ThreadedComments>
</file>

<file path=xl/threadedComments/threadedComment4.xml><?xml version="1.0" encoding="utf-8"?>
<ThreadedComments xmlns="http://schemas.microsoft.com/office/spreadsheetml/2018/threadedcomments" xmlns:x="http://schemas.openxmlformats.org/spreadsheetml/2006/main">
  <threadedComment ref="H39" dT="2021-11-03T14:39:46.09" personId="{A885640F-27FC-4027-BD75-F409CA8F5FFF}" id="{E7B20A14-91DD-4AA8-A9F2-5780F4D185FE}">
    <text>$100,000 streets, roads, bridges
$25,000 sidewalk, curb &amp; gutter
$15,000 for emergency repairs/upset conditions - look at adding this at year end</text>
  </threadedComment>
</ThreadedComments>
</file>

<file path=xl/threadedComments/threadedComment5.xml><?xml version="1.0" encoding="utf-8"?>
<ThreadedComments xmlns="http://schemas.microsoft.com/office/spreadsheetml/2018/threadedcomments" xmlns:x="http://schemas.openxmlformats.org/spreadsheetml/2006/main">
  <threadedComment ref="H21" dT="2021-11-15T20:10:53.40" personId="{A885640F-27FC-4027-BD75-F409CA8F5FFF}" id="{BB9B829D-3DC7-4DC4-8343-D1520F925898}">
    <text>Combine with 530-290-101</text>
  </threadedComment>
  <threadedComment ref="H38" dT="2021-11-03T14:40:59.73" personId="{A885640F-27FC-4027-BD75-F409CA8F5FFF}" id="{D8E6E606-F059-4BBD-832D-4FF019B26775}">
    <text>based on 2.5% of annual equipment replacement</text>
  </threadedComment>
</ThreadedComments>
</file>

<file path=xl/threadedComments/threadedComment6.xml><?xml version="1.0" encoding="utf-8"?>
<ThreadedComments xmlns="http://schemas.microsoft.com/office/spreadsheetml/2018/threadedcomments" xmlns:x="http://schemas.openxmlformats.org/spreadsheetml/2006/main">
  <threadedComment ref="H22" dT="2021-11-03T15:25:07.98" personId="{A885640F-27FC-4027-BD75-F409CA8F5FFF}" id="{5F8441A9-DFB6-45E0-BE2F-A9B6C1EF5827}">
    <text>This includes the capitial building replacement reserve amount of $75,000.  - Look at adding at year end
I wasn't sure where else to put it, so thought we should just change the name of this department to Development
Reserve policy - $50,000 - look at adding in at year end
Land Sales - $105,680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1.bin"/><Relationship Id="rId4" Type="http://schemas.microsoft.com/office/2017/10/relationships/threadedComment" Target="../threadedComments/threadedComment2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9.bin"/><Relationship Id="rId4" Type="http://schemas.microsoft.com/office/2017/10/relationships/threadedComment" Target="../threadedComments/threadedComment3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24.bin"/><Relationship Id="rId4" Type="http://schemas.microsoft.com/office/2017/10/relationships/threadedComment" Target="../threadedComments/threadedComment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26.bin"/><Relationship Id="rId4" Type="http://schemas.microsoft.com/office/2017/10/relationships/threadedComment" Target="../threadedComments/threadedComment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31.bin"/><Relationship Id="rId4" Type="http://schemas.microsoft.com/office/2017/10/relationships/threadedComment" Target="../threadedComments/threadedComment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5E05B-47C5-4BC8-83AC-4FE72855E767}">
  <sheetPr>
    <tabColor theme="9" tint="-0.249977111117893"/>
  </sheetPr>
  <dimension ref="A1:K38"/>
  <sheetViews>
    <sheetView tabSelected="1" zoomScale="150" zoomScaleNormal="150" zoomScalePageLayoutView="175" workbookViewId="0">
      <selection activeCell="G9" sqref="G9"/>
    </sheetView>
  </sheetViews>
  <sheetFormatPr defaultRowHeight="12.75" x14ac:dyDescent="0.2"/>
  <cols>
    <col min="1" max="1" width="21" style="1" customWidth="1"/>
    <col min="2" max="4" width="11.140625" style="1" bestFit="1" customWidth="1"/>
    <col min="5" max="5" width="10.5703125" style="1" bestFit="1" customWidth="1"/>
    <col min="6" max="6" width="11.42578125" style="1" customWidth="1"/>
    <col min="7" max="7" width="10.85546875" style="1" customWidth="1"/>
    <col min="8" max="8" width="10.140625" style="1" customWidth="1"/>
    <col min="9" max="10" width="9.140625" style="1"/>
    <col min="11" max="11" width="13.85546875" style="24" bestFit="1" customWidth="1"/>
    <col min="12" max="12" width="14.5703125" style="1" bestFit="1" customWidth="1"/>
    <col min="13" max="16384" width="9.140625" style="1"/>
  </cols>
  <sheetData>
    <row r="1" spans="1:8" x14ac:dyDescent="0.2">
      <c r="B1" s="2">
        <v>2019</v>
      </c>
      <c r="C1" s="2">
        <v>2020</v>
      </c>
      <c r="D1" s="2">
        <v>2021</v>
      </c>
      <c r="E1" s="3">
        <v>2022</v>
      </c>
      <c r="F1" s="2">
        <v>2021</v>
      </c>
      <c r="G1" s="3">
        <v>2022</v>
      </c>
    </row>
    <row r="2" spans="1:8" x14ac:dyDescent="0.2">
      <c r="B2" s="4" t="s">
        <v>0</v>
      </c>
      <c r="C2" s="5" t="s">
        <v>0</v>
      </c>
      <c r="D2" s="5" t="s">
        <v>0</v>
      </c>
      <c r="E2" s="6" t="s">
        <v>0</v>
      </c>
      <c r="F2" s="5" t="s">
        <v>1</v>
      </c>
      <c r="G2" s="6" t="s">
        <v>1</v>
      </c>
    </row>
    <row r="3" spans="1:8" x14ac:dyDescent="0.2">
      <c r="A3" s="7" t="s">
        <v>2</v>
      </c>
      <c r="B3" s="7"/>
      <c r="C3" s="7"/>
      <c r="E3" s="8"/>
      <c r="G3" s="8"/>
    </row>
    <row r="4" spans="1:8" ht="15" x14ac:dyDescent="0.2">
      <c r="A4" s="9" t="s">
        <v>3</v>
      </c>
      <c r="B4" s="10">
        <f>SUM('GG -Admin'!C6+Council!C5+'Fire Dept'!C6+'Bylaw Enforcement'!C6+'Protective Services'!C6+Recreation!B4+Culture!B4+'Recycle &amp; Garbage'!C4+'PW Summary'!B4+Airport!C6+'Land Dev'!C5)</f>
        <v>192999.43</v>
      </c>
      <c r="C4" s="10">
        <f>SUM('GG -Admin'!D6+Council!D5+'Fire Dept'!D6+'Bylaw Enforcement'!D6+'Protective Services'!D6+Recreation!C4+Culture!C4+'Recycle &amp; Garbage'!D4+'PW Summary'!C4+Airport!D6+'Land Dev'!D5)</f>
        <v>190175</v>
      </c>
      <c r="D4" s="11">
        <f>SUM('GG -Admin'!E6+Council!E5+'Fire Dept'!E6+'Bylaw Enforcement'!E6+'Protective Services'!E6+Recreation!D4+Culture!D4+'Recycle &amp; Garbage'!E4+'PW Summary'!D4+Airport!E6+'Land Dev'!E5)</f>
        <v>462265.62</v>
      </c>
      <c r="E4" s="12">
        <f>SUM('GG -Admin'!F6+Council!F5+'Fire Dept'!F6+'Bylaw Enforcement'!F6+'Protective Services'!F6+Recreation!E4+Culture!E4+'Recycle &amp; Garbage'!F4+'PW Summary'!E4+Airport!F6+'Land Dev'!F5)</f>
        <v>11677.5</v>
      </c>
      <c r="F4" s="10">
        <f>SUM('GG -Admin'!G6+Council!G5+'Fire Dept'!G6+'Bylaw Enforcement'!G6+'Protective Services'!G6+Recreation!F4+Culture!F4+'Recycle &amp; Garbage'!G4+'PW Summary'!F4+Airport!G6+'Land Dev'!G5)</f>
        <v>470760</v>
      </c>
      <c r="G4" s="12">
        <f>SUM('GG -Admin'!H6+Council!H5+'Fire Dept'!H6+'Bylaw Enforcement'!H6+'Protective Services'!H6+Recreation!G4+Culture!G4+'Recycle &amp; Garbage'!H4+'PW Summary'!G4+Airport!H6+'Land Dev'!H5)</f>
        <v>921770</v>
      </c>
    </row>
    <row r="5" spans="1:8" ht="15" x14ac:dyDescent="0.2">
      <c r="A5" s="9" t="s">
        <v>4</v>
      </c>
      <c r="B5" s="11">
        <f>SUM('GG -Admin'!C22+'Fire Dept'!C11+'Building Inspection'!C7+'Bylaw Enforcement'!C12+'Protective Services'!C14+Recreation!B5+Culture!B5+'Recycle &amp; Garbage'!C12+'PW Summary'!B5+Airport!C10+'Ec Dev'!C6)</f>
        <v>2939015.6</v>
      </c>
      <c r="C5" s="11">
        <f>SUM('GG -Admin'!D22+'Fire Dept'!D11+'Building Inspection'!D7+'Bylaw Enforcement'!D12+'Protective Services'!D14+Recreation!C5+Culture!C5+'Recycle &amp; Garbage'!D12+'PW Summary'!C5+Airport!D10+'Ec Dev'!D6)</f>
        <v>3039529.1000000006</v>
      </c>
      <c r="D5" s="11">
        <f>SUM('GG -Admin'!E22+'Fire Dept'!E11+'Building Inspection'!E7+'Bylaw Enforcement'!E12+'Protective Services'!E14+Recreation!D5+Culture!D5+'Recycle &amp; Garbage'!E12+'PW Summary'!D5+Airport!E10+'Ec Dev'!E6)</f>
        <v>2984847.8499999996</v>
      </c>
      <c r="E5" s="13">
        <f>SUM('GG -Admin'!F22+'Fire Dept'!F11+'Building Inspection'!F7+'Bylaw Enforcement'!F12+'Protective Services'!F14+Recreation!E5+Culture!E5+'Recycle &amp; Garbage'!F12+'PW Summary'!E5+Airport!F10+'Ec Dev'!F6)</f>
        <v>2370416.3299999996</v>
      </c>
      <c r="F5" s="11">
        <f>SUM('GG -Admin'!G22+'Fire Dept'!G11+'Building Inspection'!G7+'Bylaw Enforcement'!G12+'Protective Services'!G14+Recreation!F5+Culture!F5+'Recycle &amp; Garbage'!G12+'PW Summary'!F5+Airport!G10+'Ec Dev'!G6)</f>
        <v>2954600</v>
      </c>
      <c r="G5" s="13">
        <f>SUM('GG -Admin'!H22+'Fire Dept'!H11+'Building Inspection'!H7+'Bylaw Enforcement'!H12+'Protective Services'!H14+Recreation!G5+Culture!G5+'Recycle &amp; Garbage'!H12+'PW Summary'!G5+Airport!H10+'Ec Dev'!H6)</f>
        <v>3015000</v>
      </c>
      <c r="H5" s="14"/>
    </row>
    <row r="6" spans="1:8" ht="15" x14ac:dyDescent="0.2">
      <c r="A6" s="9" t="s">
        <v>5</v>
      </c>
      <c r="B6" s="15">
        <f>'Land Dev'!C8</f>
        <v>6642.34</v>
      </c>
      <c r="C6" s="15">
        <f>'Land Dev'!D8</f>
        <v>20153.650000000001</v>
      </c>
      <c r="D6" s="11">
        <f>'Land Dev'!E8</f>
        <v>22777.24</v>
      </c>
      <c r="E6" s="16">
        <f>'Land Dev'!F8</f>
        <v>0</v>
      </c>
      <c r="F6" s="15">
        <f>'Land Dev'!G8</f>
        <v>68230</v>
      </c>
      <c r="G6" s="16">
        <f>'Land Dev'!H8</f>
        <v>105680</v>
      </c>
    </row>
    <row r="7" spans="1:8" ht="15" x14ac:dyDescent="0.2">
      <c r="A7" s="9" t="s">
        <v>6</v>
      </c>
      <c r="B7" s="11">
        <f>SUM('GG -Admin'!C31+Recreation!B6+'PW Summary'!B6+Airport!C14)</f>
        <v>627995.4</v>
      </c>
      <c r="C7" s="11">
        <f>SUM('GG -Admin'!D31+Recreation!C6+'PW Summary'!C6+Airport!D14)</f>
        <v>749841.8600000001</v>
      </c>
      <c r="D7" s="11">
        <f>SUM('GG -Admin'!E31+Recreation!D6+'PW Summary'!D6+Airport!E14)</f>
        <v>824325.74</v>
      </c>
      <c r="E7" s="13">
        <f>SUM('GG -Admin'!F31+Recreation!E6+'PW Summary'!E6+Airport!F14)</f>
        <v>182916.96</v>
      </c>
      <c r="F7" s="11">
        <f>SUM('GG -Admin'!G31+Recreation!F6+'PW Summary'!F6+Airport!G14)</f>
        <v>567750</v>
      </c>
      <c r="G7" s="13">
        <f>SUM('GG -Admin'!H31+Recreation!G6+'PW Summary'!G6+Airport!H14)</f>
        <v>562270</v>
      </c>
      <c r="H7" s="14"/>
    </row>
    <row r="8" spans="1:8" x14ac:dyDescent="0.2">
      <c r="A8" s="17" t="s">
        <v>7</v>
      </c>
      <c r="B8" s="18">
        <f t="shared" ref="B8:F8" si="0">SUM(B4:B7)</f>
        <v>3766652.77</v>
      </c>
      <c r="C8" s="18">
        <f t="shared" si="0"/>
        <v>3999699.6100000003</v>
      </c>
      <c r="D8" s="18">
        <f t="shared" si="0"/>
        <v>4294216.45</v>
      </c>
      <c r="E8" s="19">
        <f t="shared" si="0"/>
        <v>2565010.7899999996</v>
      </c>
      <c r="F8" s="18">
        <f t="shared" si="0"/>
        <v>4061340</v>
      </c>
      <c r="G8" s="19">
        <f>SUM(G4:G7)</f>
        <v>4604720</v>
      </c>
      <c r="H8" s="14"/>
    </row>
    <row r="9" spans="1:8" x14ac:dyDescent="0.2">
      <c r="A9" s="1" t="s">
        <v>8</v>
      </c>
      <c r="C9" s="20"/>
      <c r="D9" s="15"/>
      <c r="E9" s="16"/>
      <c r="F9" s="15"/>
      <c r="G9" s="16"/>
      <c r="H9" s="21"/>
    </row>
    <row r="10" spans="1:8" x14ac:dyDescent="0.2">
      <c r="A10" s="7" t="s">
        <v>9</v>
      </c>
      <c r="B10" s="7"/>
      <c r="C10" s="22"/>
      <c r="D10" s="15"/>
      <c r="E10" s="16"/>
      <c r="F10" s="15"/>
      <c r="G10" s="16"/>
    </row>
    <row r="11" spans="1:8" ht="15" x14ac:dyDescent="0.2">
      <c r="A11" s="9" t="s">
        <v>10</v>
      </c>
      <c r="B11" s="11">
        <f>SUM('GG -Admin'!C43+Council!C13+'Fire Dept'!C20+'Bylaw Enforcement'!C20+'Protective Services'!C22+Recreation!B10+Culture!B10+'Recycle &amp; Garbage'!C20+'PW Summary'!B10)</f>
        <v>605763.51</v>
      </c>
      <c r="C11" s="11">
        <f>SUM('GG -Admin'!D43+Council!D13+'Fire Dept'!D20+'Bylaw Enforcement'!D20+'Protective Services'!D22+Recreation!C10+Culture!C10+'Recycle &amp; Garbage'!D20+'PW Summary'!C10)</f>
        <v>714071.3600000001</v>
      </c>
      <c r="D11" s="11">
        <f>SUM('GG -Admin'!E43+Council!E13+'Fire Dept'!E20+'Bylaw Enforcement'!E20+'Protective Services'!E22+Recreation!D10+Culture!D10+'Recycle &amp; Garbage'!E20+'PW Summary'!D10)</f>
        <v>1075049.8399999999</v>
      </c>
      <c r="E11" s="13">
        <f>SUM('GG -Admin'!F43+Council!F13+'Fire Dept'!F20+'Bylaw Enforcement'!F20+'Protective Services'!F22+Recreation!E10+Culture!E10+'Recycle &amp; Garbage'!F20+'PW Summary'!E10)</f>
        <v>658529.30000000005</v>
      </c>
      <c r="F11" s="11">
        <f>SUM('GG -Admin'!G43+Council!G13+'Fire Dept'!G20+'Bylaw Enforcement'!G20+'Protective Services'!G22+Recreation!F10+Culture!F10+'Recycle &amp; Garbage'!G20+'PW Summary'!F10)</f>
        <v>1128039</v>
      </c>
      <c r="G11" s="13">
        <f>SUM('GG -Admin'!H43+Council!H13+'Fire Dept'!H20+'Bylaw Enforcement'!H20+'Protective Services'!H22+Recreation!G10+Culture!G10+'Recycle &amp; Garbage'!H20+'PW Summary'!G10)</f>
        <v>1223719.4010000001</v>
      </c>
      <c r="H11" s="23"/>
    </row>
    <row r="12" spans="1:8" ht="15" x14ac:dyDescent="0.2">
      <c r="A12" s="9" t="s">
        <v>11</v>
      </c>
      <c r="B12" s="11">
        <f>SUM('GG -Admin'!C52+'Fire Dept'!C24+'Building Inspection'!C14+'Bylaw Enforcement'!C25+'Protective Services'!C26+Recreation!B11+Culture!B11+'Recycle &amp; Garbage'!C25+'PW Summary'!B11+Airport!C21+'Ec Dev'!C13+'Land Dev'!C16)</f>
        <v>621489.84</v>
      </c>
      <c r="C12" s="11">
        <f>SUM('GG -Admin'!D52+'Fire Dept'!D24+'Building Inspection'!D14+'Bylaw Enforcement'!D25+'Protective Services'!D26+Recreation!C11+Culture!C11+'Recycle &amp; Garbage'!D25+'PW Summary'!C11+Airport!D21+'Ec Dev'!D13+'Land Dev'!D16)</f>
        <v>512161.85000000003</v>
      </c>
      <c r="D12" s="11">
        <f>SUM('GG -Admin'!E52+'Fire Dept'!E24+'Building Inspection'!E14+'Bylaw Enforcement'!E25+'Protective Services'!E26+Recreation!D11+Culture!D11+'Recycle &amp; Garbage'!E25+'PW Summary'!D11+Airport!E21+'Ec Dev'!E13+'Land Dev'!E16)</f>
        <v>541834.61999999988</v>
      </c>
      <c r="E12" s="13">
        <f>SUM('GG -Admin'!F52+'Fire Dept'!F24+'Building Inspection'!F14+'Bylaw Enforcement'!F25+'Protective Services'!F26+Recreation!E11+Culture!E11+'Recycle &amp; Garbage'!F25+'PW Summary'!E11+Airport!F21+'Ec Dev'!F13+'Land Dev'!F16)</f>
        <v>389236.69999999995</v>
      </c>
      <c r="F12" s="11">
        <f>SUM('GG -Admin'!G52+'Fire Dept'!G24+'Building Inspection'!G14+'Bylaw Enforcement'!G25+'Protective Services'!G26+Recreation!F11+Culture!F11+'Recycle &amp; Garbage'!G25+'PW Summary'!F11+Airport!G21+'Ec Dev'!G13+'Land Dev'!G16)</f>
        <v>611980</v>
      </c>
      <c r="G12" s="13">
        <f>SUM('GG -Admin'!H52+'Fire Dept'!H24+'Building Inspection'!H14+'Bylaw Enforcement'!H25+'Protective Services'!H26+Recreation!G11+Culture!G11+'Recycle &amp; Garbage'!H25+'PW Summary'!G11+Airport!H21+'Ec Dev'!H13+'Land Dev'!H16)</f>
        <v>737670</v>
      </c>
      <c r="H12" s="14"/>
    </row>
    <row r="13" spans="1:8" ht="15" x14ac:dyDescent="0.2">
      <c r="A13" s="9" t="s">
        <v>12</v>
      </c>
      <c r="B13" s="11">
        <f>SUM('GG -Admin'!C59+'Fire Dept'!C28+'Protective Services'!C30+Recreation!B12+Culture!B12+'PW Summary'!B12+Airport!C25+'Ec Dev'!C17)</f>
        <v>194780.01</v>
      </c>
      <c r="C13" s="11">
        <f>SUM('GG -Admin'!D59+'Fire Dept'!D28+'Protective Services'!D30+Recreation!C12+Culture!C12+'PW Summary'!C12+Airport!D25+'Ec Dev'!D17)</f>
        <v>229155.84999999998</v>
      </c>
      <c r="D13" s="11">
        <f>SUM('GG -Admin'!E59+'Fire Dept'!E28+'Protective Services'!E30+Recreation!D12+Culture!D12+'PW Summary'!D12+Airport!E25+'Ec Dev'!E17)</f>
        <v>244201.80000000002</v>
      </c>
      <c r="E13" s="13">
        <f>SUM('GG -Admin'!F59+'Fire Dept'!F28+'Protective Services'!F30+Recreation!E12+Culture!E12+'PW Summary'!E12+Airport!F25+'Ec Dev'!F17)</f>
        <v>172339.78999999998</v>
      </c>
      <c r="F13" s="11">
        <f>SUM('GG -Admin'!G59+'Fire Dept'!G28+'Protective Services'!G30+Recreation!F12+Culture!F12+'PW Summary'!F12+Airport!G25+'Ec Dev'!G17)</f>
        <v>263730</v>
      </c>
      <c r="G13" s="13">
        <f>SUM('GG -Admin'!H59+'Fire Dept'!H28+'Protective Services'!H30+Recreation!G12+Culture!G12+'PW Summary'!G12+Airport!H25+'Ec Dev'!H17)</f>
        <v>257140</v>
      </c>
    </row>
    <row r="14" spans="1:8" ht="15" x14ac:dyDescent="0.2">
      <c r="A14" s="9" t="s">
        <v>13</v>
      </c>
      <c r="B14" s="11">
        <f>SUM('GG -Admin'!C73+Council!C17+'Fire Dept'!C38+'Bylaw Enforcement'!C29+'Protective Services'!C35+Recreation!B13+Culture!B13+'Recycle &amp; Garbage'!C30+'PW Summary'!B13+Airport!C30+'Ec Dev'!C21+'Land Dev'!C20)</f>
        <v>668638.93000000005</v>
      </c>
      <c r="C14" s="11">
        <f>SUM('GG -Admin'!D73+Council!D17+'Fire Dept'!D38+'Bylaw Enforcement'!D29+'Protective Services'!D35+Recreation!C13+Culture!C13+'Recycle &amp; Garbage'!D30+'PW Summary'!C13+Airport!D30+'Ec Dev'!D21+'Land Dev'!D20)</f>
        <v>668520.30999999982</v>
      </c>
      <c r="D14" s="11">
        <f>SUM('GG -Admin'!E73+Council!E17+'Fire Dept'!E38+'Bylaw Enforcement'!E29+'Protective Services'!E35+Recreation!D13+Culture!D13+'Recycle &amp; Garbage'!E30+'PW Summary'!D13+Airport!E30+'Ec Dev'!E21+'Land Dev'!E20)</f>
        <v>771508.08000000007</v>
      </c>
      <c r="E14" s="13">
        <f>SUM('GG -Admin'!F73+Council!F17+'Fire Dept'!F38+'Bylaw Enforcement'!F29+'Protective Services'!F35+Recreation!E13+Culture!E13+'Recycle &amp; Garbage'!F30+'PW Summary'!E13+Airport!F30+'Ec Dev'!F21+'Land Dev'!F20)</f>
        <v>515585.55000000005</v>
      </c>
      <c r="F14" s="11">
        <f>SUM('GG -Admin'!G73+Council!G17+'Fire Dept'!G38+'Bylaw Enforcement'!G29+'Protective Services'!G35+Recreation!F13+Culture!F13+'Recycle &amp; Garbage'!G30+'PW Summary'!F13+Airport!G30+'Ec Dev'!G21+'Land Dev'!G20)</f>
        <v>794390</v>
      </c>
      <c r="G14" s="13">
        <f>SUM('GG -Admin'!H73+Council!H17+'Fire Dept'!H38+'Bylaw Enforcement'!H29+'Protective Services'!H35+Recreation!G13+Culture!G13+'Recycle &amp; Garbage'!H30+'PW Summary'!G13+Airport!H30+'Ec Dev'!H21+'Land Dev'!H20)</f>
        <v>961920</v>
      </c>
      <c r="H14" s="14"/>
    </row>
    <row r="15" spans="1:8" ht="15" x14ac:dyDescent="0.2">
      <c r="A15" s="9" t="s">
        <v>14</v>
      </c>
      <c r="B15" s="11">
        <f>SUM('GG -Admin'!C77+Recreation!B14+Culture!B14)</f>
        <v>137517.77000000002</v>
      </c>
      <c r="C15" s="11">
        <f>SUM('GG -Admin'!D77+Recreation!C14+Culture!C14)</f>
        <v>220562.34</v>
      </c>
      <c r="D15" s="11">
        <f>SUM('GG -Admin'!E77+Recreation!D14+Culture!D14)</f>
        <v>74909.37</v>
      </c>
      <c r="E15" s="13">
        <f>SUM('GG -Admin'!F77+Recreation!E14+Culture!E14)</f>
        <v>47632.27</v>
      </c>
      <c r="F15" s="11">
        <f>SUM('GG -Admin'!G77+Recreation!F14+Culture!F14)</f>
        <v>59410</v>
      </c>
      <c r="G15" s="13">
        <f>SUM('GG -Admin'!H77+Recreation!G14+Culture!G14)</f>
        <v>67650</v>
      </c>
      <c r="H15" s="14"/>
    </row>
    <row r="16" spans="1:8" ht="15" x14ac:dyDescent="0.2">
      <c r="A16" s="9" t="s">
        <v>15</v>
      </c>
      <c r="B16" s="11">
        <f>SUM('GG -Admin'!C81+'Fire Dept'!C42+'Protective Services'!C39+Recreation!B15+Culture!B15+'PW Summary'!B14)</f>
        <v>366142.36</v>
      </c>
      <c r="C16" s="11">
        <f>SUM('GG -Admin'!D81+'Fire Dept'!D42+'Protective Services'!D39+Recreation!C15+Culture!C15+'PW Summary'!C14)</f>
        <v>414182.82</v>
      </c>
      <c r="D16" s="11">
        <f>SUM('GG -Admin'!E81+'Fire Dept'!E42+'Protective Services'!E39+Recreation!D15+Culture!D15+'PW Summary'!D14)</f>
        <v>452904.20999999996</v>
      </c>
      <c r="E16" s="13">
        <f>SUM('GG -Admin'!F81+'Fire Dept'!F42+'Protective Services'!F39+Recreation!E15+Culture!E15+'PW Summary'!E14)</f>
        <v>0</v>
      </c>
      <c r="F16" s="11">
        <f>SUM('GG -Admin'!G81+'Fire Dept'!G42+'Protective Services'!G39+Recreation!F15+Culture!F15+'PW Summary'!F14)</f>
        <v>0</v>
      </c>
      <c r="G16" s="13">
        <f>SUM('GG -Admin'!H81+'Fire Dept'!H42+'Protective Services'!H39+Recreation!G15+Culture!G15+'PW Summary'!G14)</f>
        <v>0</v>
      </c>
    </row>
    <row r="17" spans="1:8" ht="15" x14ac:dyDescent="0.2">
      <c r="A17" s="9" t="s">
        <v>16</v>
      </c>
      <c r="B17" s="11">
        <f>SUM('GG -Admin'!C85+Recreation!B16+Culture!B16+'PW Summary'!B15)</f>
        <v>76206.37999999999</v>
      </c>
      <c r="C17" s="11">
        <f>SUM('GG -Admin'!D85+Recreation!C16+Culture!C16+'PW Summary'!C15)</f>
        <v>51701.630000000005</v>
      </c>
      <c r="D17" s="11">
        <f>SUM('GG -Admin'!E85+Recreation!D16+Culture!D16+'PW Summary'!D15)</f>
        <v>40431.68</v>
      </c>
      <c r="E17" s="13">
        <f>SUM('GG -Admin'!F85+Recreation!E16+Culture!E16+'PW Summary'!E15)</f>
        <v>264476.71000000002</v>
      </c>
      <c r="F17" s="11">
        <f>SUM('GG -Admin'!G85+Recreation!F16+Culture!F16+'PW Summary'!F15)</f>
        <v>50110</v>
      </c>
      <c r="G17" s="13">
        <f>SUM('GG -Admin'!H85+Recreation!G16+Culture!G16+'PW Summary'!G15)</f>
        <v>138100</v>
      </c>
    </row>
    <row r="18" spans="1:8" ht="15" x14ac:dyDescent="0.2">
      <c r="A18" s="9" t="s">
        <v>17</v>
      </c>
      <c r="B18" s="11">
        <f>SUM('GG -Admin'!C90+Council!C25+'Fire Dept'!C46+Recreation!B17+Culture!B18+'PW Summary'!B16)</f>
        <v>8198.77</v>
      </c>
      <c r="C18" s="11">
        <f>SUM('GG -Admin'!D90+Council!D25+'Fire Dept'!D46+Recreation!C17+Culture!C18+'PW Summary'!C16)</f>
        <v>8940.119999999999</v>
      </c>
      <c r="D18" s="11">
        <f>SUM('GG -Admin'!E90+Council!E25+'Fire Dept'!E46+Recreation!D17+Culture!D18+'PW Summary'!D16)</f>
        <v>16825.96</v>
      </c>
      <c r="E18" s="13">
        <f>SUM('GG -Admin'!F90+Council!F25+'Fire Dept'!F46+Recreation!E17+Culture!E18+'PW Summary'!E16)</f>
        <v>7726.8099999999995</v>
      </c>
      <c r="F18" s="11">
        <f>SUM('GG -Admin'!G90+Council!G25+'Fire Dept'!G46+Recreation!F17+Culture!F18+'PW Summary'!F16)</f>
        <v>19100</v>
      </c>
      <c r="G18" s="13">
        <f>SUM('GG -Admin'!H90+Council!H25+'Fire Dept'!H46+Recreation!G17+Culture!G18+'PW Summary'!G16)</f>
        <v>23680</v>
      </c>
      <c r="H18" s="14"/>
    </row>
    <row r="19" spans="1:8" ht="15" x14ac:dyDescent="0.2">
      <c r="A19" s="9" t="s">
        <v>18</v>
      </c>
      <c r="B19" s="11">
        <f>SUM('PW Summary'!B17)</f>
        <v>0</v>
      </c>
      <c r="C19" s="11">
        <f>SUM('PW Summary'!C17)</f>
        <v>0</v>
      </c>
      <c r="D19" s="11">
        <f>SUM('PW Summary'!D17)</f>
        <v>0</v>
      </c>
      <c r="E19" s="13">
        <f>SUM('PW Summary'!E17)</f>
        <v>0</v>
      </c>
      <c r="F19" s="11">
        <f>SUM('PW Summary'!F17)</f>
        <v>218270</v>
      </c>
      <c r="G19" s="13">
        <f>SUM('PW Summary'!G17)</f>
        <v>303160</v>
      </c>
      <c r="H19" s="14"/>
    </row>
    <row r="20" spans="1:8" x14ac:dyDescent="0.2">
      <c r="A20" s="9" t="s">
        <v>19</v>
      </c>
      <c r="B20" s="25">
        <f>SUM('GG -Admin'!C96+'Fire Dept'!C48+'Protective Services'!C43+Recreation!B18+Culture!B18+'PW Summary'!B18+Airport!C34)</f>
        <v>0</v>
      </c>
      <c r="C20" s="25">
        <f>SUM('GG -Admin'!D96+'Fire Dept'!D48+'Protective Services'!D43+Recreation!C18+Culture!C18+'PW Summary'!C18+Airport!D34)</f>
        <v>0</v>
      </c>
      <c r="D20" s="25">
        <f>SUM('GG -Admin'!E96+'Fire Dept'!E48+'Protective Services'!E43+Recreation!D18+Culture!D18+'PW Summary'!D18+Airport!E34)</f>
        <v>0.06</v>
      </c>
      <c r="E20" s="26">
        <f>SUM('GG -Admin'!F96+'Fire Dept'!F48+'Protective Services'!F43+Recreation!E18+Culture!E18+'PW Summary'!E18+Airport!F34)</f>
        <v>440728.2</v>
      </c>
      <c r="F20" s="25">
        <f>SUM('GG -Admin'!G96+'Fire Dept'!G48+'Protective Services'!G43+Recreation!F18+Culture!F18+'PW Summary'!F18+Airport!G34)</f>
        <v>366610</v>
      </c>
      <c r="G20" s="26">
        <f>SUM('GG -Admin'!H96+'Fire Dept'!H48+'Protective Services'!H43+Recreation!G18+Culture!G18+'PW Summary'!G18+Airport!H34)</f>
        <v>671000</v>
      </c>
      <c r="H20" s="27"/>
    </row>
    <row r="21" spans="1:8" x14ac:dyDescent="0.2">
      <c r="A21" s="28" t="s">
        <v>20</v>
      </c>
      <c r="B21" s="29">
        <f>SUM('GG -Admin'!C99+'Fire Dept'!C49+'Protective Services'!C46+Recreation!B19+Culture!B19+'Recycle &amp; Garbage'!C32+'PW Summary'!B19+'Land Dev'!C23)</f>
        <v>304064.43</v>
      </c>
      <c r="C21" s="29">
        <f>SUM('GG -Admin'!D99+'Fire Dept'!D49+'Protective Services'!D46+Recreation!C19+Culture!C19+'Recycle &amp; Garbage'!D32+'PW Summary'!C19+'Land Dev'!D23)</f>
        <v>1003146.9199999999</v>
      </c>
      <c r="D21" s="29">
        <f>SUM('GG -Admin'!E99+'Fire Dept'!E49+'Protective Services'!E46+Recreation!D19+Culture!D19+'Recycle &amp; Garbage'!E32+'PW Summary'!D19+'Land Dev'!E23)</f>
        <v>691292.64</v>
      </c>
      <c r="E21" s="29">
        <f>SUM('GG -Admin'!F99+'Fire Dept'!F49+'Protective Services'!F46+Recreation!E19+Culture!E19+'Recycle &amp; Garbage'!F32+'PW Summary'!E19+'Land Dev'!F23)</f>
        <v>0</v>
      </c>
      <c r="F21" s="29">
        <f>SUM('GG -Admin'!G99+'Fire Dept'!G49+'Protective Services'!G46+Recreation!F19+Culture!F19+'Recycle &amp; Garbage'!G32+'PW Summary'!F19+'Land Dev'!G23)</f>
        <v>537400</v>
      </c>
      <c r="G21" s="29">
        <f>SUM('GG -Admin'!H99+'Fire Dept'!H49+'Protective Services'!H46+Recreation!G19+Culture!G19+'Recycle &amp; Garbage'!H32+'PW Summary'!G19+'Land Dev'!H23)</f>
        <v>220680</v>
      </c>
    </row>
    <row r="22" spans="1:8" x14ac:dyDescent="0.2">
      <c r="A22" s="17" t="s">
        <v>21</v>
      </c>
      <c r="B22" s="30">
        <f>SUM(B11:B21)</f>
        <v>2982802</v>
      </c>
      <c r="C22" s="30">
        <f>SUM(C11:C21)</f>
        <v>3822443.1999999997</v>
      </c>
      <c r="D22" s="18">
        <f t="shared" ref="D22:G22" si="1">SUM(D11:D21)</f>
        <v>3908958.2600000002</v>
      </c>
      <c r="E22" s="19">
        <f t="shared" si="1"/>
        <v>2496255.33</v>
      </c>
      <c r="F22" s="18">
        <f t="shared" si="1"/>
        <v>4049039</v>
      </c>
      <c r="G22" s="19">
        <f t="shared" si="1"/>
        <v>4604719.4010000005</v>
      </c>
    </row>
    <row r="23" spans="1:8" x14ac:dyDescent="0.2">
      <c r="A23" s="1" t="s">
        <v>8</v>
      </c>
      <c r="C23" s="20"/>
      <c r="D23" s="15"/>
      <c r="E23" s="16"/>
      <c r="F23" s="20"/>
      <c r="G23" s="16"/>
    </row>
    <row r="24" spans="1:8" x14ac:dyDescent="0.2">
      <c r="A24" s="17" t="s">
        <v>22</v>
      </c>
      <c r="B24" s="30">
        <f>B8-B22</f>
        <v>783850.77</v>
      </c>
      <c r="C24" s="30">
        <f>C8-C22</f>
        <v>177256.41000000061</v>
      </c>
      <c r="D24" s="18">
        <f t="shared" ref="D24:F24" si="2">D8-D22</f>
        <v>385258.18999999994</v>
      </c>
      <c r="E24" s="19">
        <f t="shared" si="2"/>
        <v>68755.459999999497</v>
      </c>
      <c r="F24" s="30">
        <f t="shared" si="2"/>
        <v>12301</v>
      </c>
      <c r="G24" s="19">
        <f>G8-G22-1</f>
        <v>-0.4010000005364418</v>
      </c>
    </row>
    <row r="25" spans="1:8" x14ac:dyDescent="0.2">
      <c r="A25" s="1" t="s">
        <v>8</v>
      </c>
      <c r="C25" s="20"/>
      <c r="D25" s="20"/>
      <c r="E25" s="20"/>
      <c r="F25" s="20"/>
      <c r="G25" s="20"/>
    </row>
    <row r="26" spans="1:8" x14ac:dyDescent="0.2">
      <c r="A26" s="1" t="s">
        <v>8</v>
      </c>
      <c r="F26" s="24"/>
      <c r="G26" s="20"/>
    </row>
    <row r="27" spans="1:8" x14ac:dyDescent="0.2">
      <c r="A27" s="1" t="s">
        <v>8</v>
      </c>
      <c r="F27" s="14"/>
      <c r="G27" s="23"/>
    </row>
    <row r="28" spans="1:8" x14ac:dyDescent="0.2">
      <c r="A28" s="1" t="s">
        <v>8</v>
      </c>
      <c r="F28" s="21"/>
    </row>
    <row r="29" spans="1:8" x14ac:dyDescent="0.2">
      <c r="A29" s="1" t="s">
        <v>23</v>
      </c>
    </row>
    <row r="30" spans="1:8" x14ac:dyDescent="0.2">
      <c r="A30" s="1" t="s">
        <v>8</v>
      </c>
    </row>
    <row r="31" spans="1:8" x14ac:dyDescent="0.2">
      <c r="F31" s="31"/>
    </row>
    <row r="32" spans="1:8" x14ac:dyDescent="0.2">
      <c r="A32" s="32" t="s">
        <v>8</v>
      </c>
      <c r="B32" s="32"/>
      <c r="C32" s="32"/>
    </row>
    <row r="33" spans="1:11" x14ac:dyDescent="0.2">
      <c r="A33" s="1" t="s">
        <v>24</v>
      </c>
    </row>
    <row r="38" spans="1:11" ht="15" x14ac:dyDescent="0.35">
      <c r="K38" s="33"/>
    </row>
  </sheetData>
  <pageMargins left="0.74803149606299213" right="0.74803149606299213" top="0.65625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Summary 
</oddHeader>
    <oddFooter>&amp;L&amp;P of &amp;N &amp;C&amp;R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04CEA-09BB-40A9-83CF-56180AF5F193}">
  <dimension ref="A1:K106"/>
  <sheetViews>
    <sheetView topLeftCell="A79" zoomScale="150" zoomScaleNormal="150" zoomScalePageLayoutView="85" workbookViewId="0">
      <selection activeCell="G9" sqref="G9"/>
    </sheetView>
  </sheetViews>
  <sheetFormatPr defaultRowHeight="12.75" x14ac:dyDescent="0.2"/>
  <cols>
    <col min="1" max="1" width="12.7109375" style="37" customWidth="1"/>
    <col min="2" max="2" width="21.85546875" style="1" customWidth="1"/>
    <col min="3" max="3" width="10.5703125" style="1" customWidth="1"/>
    <col min="4" max="6" width="10" style="1" bestFit="1" customWidth="1"/>
    <col min="7" max="7" width="10.85546875" style="1" customWidth="1"/>
    <col min="8" max="8" width="10" style="1" bestFit="1" customWidth="1"/>
    <col min="9" max="9" width="10.7109375" style="1" bestFit="1" customWidth="1"/>
    <col min="10" max="10" width="9.140625" style="1"/>
    <col min="11" max="11" width="9.140625" style="1" bestFit="1" customWidth="1"/>
    <col min="12" max="16384" width="9.140625" style="1"/>
  </cols>
  <sheetData>
    <row r="1" spans="1:10" x14ac:dyDescent="0.2">
      <c r="A1" s="34"/>
      <c r="C1" s="2">
        <f>+[1]Master!C3</f>
        <v>2019</v>
      </c>
      <c r="D1" s="2">
        <f>+[1]Master!D3</f>
        <v>2020</v>
      </c>
      <c r="E1" s="2">
        <f>+[1]Master!E3</f>
        <v>2021</v>
      </c>
      <c r="F1" s="3">
        <f>+[1]Master!F3</f>
        <v>2022</v>
      </c>
      <c r="G1" s="2">
        <f>+[1]Master!G3</f>
        <v>2021</v>
      </c>
      <c r="H1" s="3">
        <f>+[1]Master!H3</f>
        <v>2022</v>
      </c>
    </row>
    <row r="2" spans="1:10" x14ac:dyDescent="0.2">
      <c r="A2" s="1"/>
      <c r="B2" s="35"/>
      <c r="C2" s="4" t="str">
        <f>+[1]Master!C4</f>
        <v>YTD</v>
      </c>
      <c r="D2" s="4" t="str">
        <f>+[1]Master!D4</f>
        <v>YTD</v>
      </c>
      <c r="E2" s="4" t="str">
        <f>+[1]Master!E4</f>
        <v>YTD</v>
      </c>
      <c r="F2" s="36" t="str">
        <f>+[1]Master!F4</f>
        <v>YTD</v>
      </c>
      <c r="G2" s="4" t="str">
        <f>+[1]Master!G4</f>
        <v>Budget</v>
      </c>
      <c r="H2" s="36" t="str">
        <f>+[1]Master!H4</f>
        <v>Budget</v>
      </c>
    </row>
    <row r="3" spans="1:10" x14ac:dyDescent="0.2">
      <c r="A3" s="35" t="s">
        <v>2</v>
      </c>
      <c r="B3" s="35"/>
      <c r="C3" s="35"/>
      <c r="D3" s="2"/>
      <c r="E3" s="2"/>
      <c r="F3" s="3"/>
      <c r="H3" s="3"/>
    </row>
    <row r="4" spans="1:10" x14ac:dyDescent="0.2">
      <c r="A4" s="37" t="s">
        <v>25</v>
      </c>
      <c r="B4" s="38"/>
      <c r="C4" s="38"/>
      <c r="D4" s="2"/>
      <c r="E4" s="2"/>
      <c r="F4" s="3"/>
      <c r="H4" s="3"/>
    </row>
    <row r="5" spans="1:10" x14ac:dyDescent="0.2">
      <c r="A5" s="37" t="s">
        <v>26</v>
      </c>
      <c r="B5" s="1" t="str">
        <f>VLOOKUP(A5,'[1]SQL DATA'!$B:$J,3,FALSE)</f>
        <v>Transfer from Reserves - Admin</v>
      </c>
      <c r="C5" s="20">
        <f>VLOOKUP(A5,'[1]SQL DATA'!$B:$K,10,FALSE)</f>
        <v>0</v>
      </c>
      <c r="D5" s="20">
        <f>VLOOKUP(A5,'[1]SQL DATA'!$B:$J,9,FALSE)</f>
        <v>0</v>
      </c>
      <c r="E5" s="15">
        <f>VLOOKUP(A5,'[1]SQL DATA'!$B:$J,7,FALSE)</f>
        <v>20249.330000000002</v>
      </c>
      <c r="F5" s="16">
        <f>VLOOKUP(A5,'[1]SQL DATA'!$B:$J,6,FALSE)</f>
        <v>0</v>
      </c>
      <c r="G5" s="20">
        <v>35000</v>
      </c>
      <c r="H5" s="16">
        <v>40120</v>
      </c>
    </row>
    <row r="6" spans="1:10" x14ac:dyDescent="0.2">
      <c r="A6" s="39" t="s">
        <v>27</v>
      </c>
      <c r="B6" s="39"/>
      <c r="C6" s="40">
        <f>SUM(C5)</f>
        <v>0</v>
      </c>
      <c r="D6" s="40">
        <f>SUM(D5)</f>
        <v>0</v>
      </c>
      <c r="E6" s="40">
        <f>SUM(E5)</f>
        <v>20249.330000000002</v>
      </c>
      <c r="F6" s="41">
        <f>SUM(F5)</f>
        <v>0</v>
      </c>
      <c r="G6" s="40">
        <f t="shared" ref="G6:H6" si="0">SUM(G5)</f>
        <v>35000</v>
      </c>
      <c r="H6" s="41">
        <f t="shared" si="0"/>
        <v>40120</v>
      </c>
    </row>
    <row r="7" spans="1:10" x14ac:dyDescent="0.2">
      <c r="A7" s="42"/>
      <c r="B7" s="7"/>
      <c r="C7" s="7"/>
      <c r="D7" s="43"/>
      <c r="E7" s="43"/>
      <c r="F7" s="44"/>
      <c r="H7" s="44"/>
    </row>
    <row r="8" spans="1:10" x14ac:dyDescent="0.2">
      <c r="A8" s="34" t="s">
        <v>28</v>
      </c>
      <c r="B8" s="45"/>
      <c r="C8" s="45"/>
      <c r="D8" s="23"/>
      <c r="E8" s="23"/>
      <c r="F8" s="46"/>
      <c r="H8" s="46"/>
    </row>
    <row r="9" spans="1:10" x14ac:dyDescent="0.2">
      <c r="A9" s="37" t="s">
        <v>29</v>
      </c>
      <c r="B9" s="1" t="str">
        <f>VLOOKUP(A9,'[1]SQL DATA'!$B:$J,3,FALSE)</f>
        <v>General Municipal Levy</v>
      </c>
      <c r="C9" s="20">
        <f>VLOOKUP(A9,'[1]SQL DATA'!$B:$K,10,FALSE)</f>
        <v>1527239.39</v>
      </c>
      <c r="D9" s="20">
        <f>VLOOKUP(A9,'[1]SQL DATA'!$B:$J,9,FALSE)</f>
        <v>1540045.85</v>
      </c>
      <c r="E9" s="15">
        <f>VLOOKUP(A9,'[1]SQL DATA'!$B:$J,7,FALSE)</f>
        <v>1536499.75</v>
      </c>
      <c r="F9" s="16">
        <f>VLOOKUP(A9,'[1]SQL DATA'!$B:$J,6,FALSE)</f>
        <v>1607355.06</v>
      </c>
      <c r="G9" s="20">
        <v>1530320</v>
      </c>
      <c r="H9" s="16">
        <v>1607350</v>
      </c>
      <c r="J9" s="23"/>
    </row>
    <row r="10" spans="1:10" x14ac:dyDescent="0.2">
      <c r="A10" s="37" t="s">
        <v>30</v>
      </c>
      <c r="B10" s="1" t="str">
        <f>VLOOKUP(A10,'[1]SQL DATA'!$B:$J,3,FALSE)</f>
        <v>Property Tax Abatements &amp; Adjustments</v>
      </c>
      <c r="C10" s="20">
        <f>VLOOKUP(A10,'[1]SQL DATA'!$B:$K,10,FALSE)</f>
        <v>-24413.11</v>
      </c>
      <c r="D10" s="20">
        <f>VLOOKUP(A10,'[1]SQL DATA'!$B:$J,9,FALSE)</f>
        <v>-38665.5</v>
      </c>
      <c r="E10" s="15">
        <f>VLOOKUP(A10,'[1]SQL DATA'!$B:$J,7,FALSE)</f>
        <v>-64078.63</v>
      </c>
      <c r="F10" s="16">
        <f>VLOOKUP(A10,'[1]SQL DATA'!$B:$J,6,FALSE)</f>
        <v>-17516.97</v>
      </c>
      <c r="G10" s="20">
        <v>-24410</v>
      </c>
      <c r="H10" s="16">
        <v>-24410</v>
      </c>
    </row>
    <row r="11" spans="1:10" x14ac:dyDescent="0.2">
      <c r="A11" s="37" t="s">
        <v>31</v>
      </c>
      <c r="B11" s="1" t="str">
        <f>VLOOKUP(A11,'[1]SQL DATA'!$B:$J,3,FALSE)</f>
        <v>Discount on Municipal Tax - Property</v>
      </c>
      <c r="C11" s="20">
        <f>VLOOKUP(A11,'[1]SQL DATA'!$B:$K,10,FALSE)</f>
        <v>-69771.98</v>
      </c>
      <c r="D11" s="20">
        <f>VLOOKUP(A11,'[1]SQL DATA'!$B:$J,9,FALSE)</f>
        <v>-74818.39</v>
      </c>
      <c r="E11" s="15">
        <f>VLOOKUP(A11,'[1]SQL DATA'!$B:$J,7,FALSE)</f>
        <v>-79145.75</v>
      </c>
      <c r="F11" s="16">
        <f>VLOOKUP(A11,'[1]SQL DATA'!$B:$J,6,FALSE)</f>
        <v>-80055.820000000007</v>
      </c>
      <c r="G11" s="20">
        <v>-75000</v>
      </c>
      <c r="H11" s="16">
        <v>-75000</v>
      </c>
    </row>
    <row r="12" spans="1:10" x14ac:dyDescent="0.2">
      <c r="A12" s="37" t="s">
        <v>32</v>
      </c>
      <c r="B12" s="1" t="str">
        <f>VLOOKUP(A12,'[1]SQL DATA'!$B:$J,3,FALSE)</f>
        <v>Penalty on Mun Taxes Arrears - Property</v>
      </c>
      <c r="C12" s="20">
        <f>VLOOKUP(A12,'[1]SQL DATA'!$B:$K,10,FALSE)</f>
        <v>47669.29</v>
      </c>
      <c r="D12" s="20">
        <f>VLOOKUP(A12,'[1]SQL DATA'!$B:$J,9,FALSE)</f>
        <v>49176.33</v>
      </c>
      <c r="E12" s="15">
        <f>VLOOKUP(A12,'[1]SQL DATA'!$B:$J,7,FALSE)</f>
        <v>57742.64</v>
      </c>
      <c r="F12" s="16">
        <f>VLOOKUP(A12,'[1]SQL DATA'!$B:$J,6,FALSE)</f>
        <v>13916.49</v>
      </c>
      <c r="G12" s="20">
        <v>50000</v>
      </c>
      <c r="H12" s="16">
        <v>38300</v>
      </c>
    </row>
    <row r="13" spans="1:10" x14ac:dyDescent="0.2">
      <c r="A13" s="37" t="s">
        <v>33</v>
      </c>
      <c r="B13" s="1" t="str">
        <f>VLOOKUP(A13,'[1]SQL DATA'!$B:$J,3,FALSE)</f>
        <v>F&amp;C - Sale of Supplies - Office</v>
      </c>
      <c r="C13" s="20">
        <f>VLOOKUP(A13,'[1]SQL DATA'!$B:$K,10,FALSE)</f>
        <v>73</v>
      </c>
      <c r="D13" s="20">
        <f>VLOOKUP(A13,'[1]SQL DATA'!$B:$J,9,FALSE)</f>
        <v>0</v>
      </c>
      <c r="E13" s="15">
        <f>VLOOKUP(A13,'[1]SQL DATA'!$B:$J,7,FALSE)</f>
        <v>45</v>
      </c>
      <c r="F13" s="16">
        <f>VLOOKUP(A13,'[1]SQL DATA'!$B:$J,6,FALSE)</f>
        <v>10</v>
      </c>
      <c r="G13" s="20">
        <v>100</v>
      </c>
      <c r="H13" s="16">
        <v>100</v>
      </c>
    </row>
    <row r="14" spans="1:10" x14ac:dyDescent="0.2">
      <c r="A14" s="37" t="s">
        <v>34</v>
      </c>
      <c r="B14" s="1" t="str">
        <f>VLOOKUP(A14,'[1]SQL DATA'!$B:$J,3,FALSE)</f>
        <v>F&amp;C - Rentals &amp; Mobile Home &amp; Lot Leases</v>
      </c>
      <c r="C14" s="20">
        <f>VLOOKUP(A14,'[1]SQL DATA'!$B:$K,10,FALSE)</f>
        <v>7700</v>
      </c>
      <c r="D14" s="20">
        <f>VLOOKUP(A14,'[1]SQL DATA'!$B:$J,9,FALSE)</f>
        <v>5100</v>
      </c>
      <c r="E14" s="15">
        <f>VLOOKUP(A14,'[1]SQL DATA'!$B:$J,7,FALSE)</f>
        <v>5754.89</v>
      </c>
      <c r="F14" s="16">
        <f>VLOOKUP(A14,'[1]SQL DATA'!$B:$J,6,FALSE)</f>
        <v>3120</v>
      </c>
      <c r="G14" s="20">
        <v>3600</v>
      </c>
      <c r="H14" s="16">
        <v>5750</v>
      </c>
    </row>
    <row r="15" spans="1:10" x14ac:dyDescent="0.2">
      <c r="A15" s="37" t="s">
        <v>35</v>
      </c>
      <c r="B15" s="1" t="str">
        <f>VLOOKUP(A15,'[1]SQL DATA'!$B:$J,3,FALSE)</f>
        <v>F&amp;C - SAMA Fees</v>
      </c>
      <c r="C15" s="20">
        <f>VLOOKUP(A15,'[1]SQL DATA'!$B:$K,10,FALSE)</f>
        <v>40</v>
      </c>
      <c r="D15" s="20">
        <f>VLOOKUP(A15,'[1]SQL DATA'!$B:$J,9,FALSE)</f>
        <v>40</v>
      </c>
      <c r="E15" s="15">
        <f>VLOOKUP(A15,'[1]SQL DATA'!$B:$J,7,FALSE)</f>
        <v>140</v>
      </c>
      <c r="F15" s="16">
        <f>VLOOKUP(A15,'[1]SQL DATA'!$B:$J,6,FALSE)</f>
        <v>0</v>
      </c>
      <c r="G15" s="20">
        <v>250</v>
      </c>
      <c r="H15" s="16">
        <v>250</v>
      </c>
    </row>
    <row r="16" spans="1:10" x14ac:dyDescent="0.2">
      <c r="A16" s="37" t="s">
        <v>36</v>
      </c>
      <c r="B16" s="1" t="str">
        <f>VLOOKUP(A16,'[1]SQL DATA'!$B:$J,3,FALSE)</f>
        <v>F&amp;C - Tax Certificate</v>
      </c>
      <c r="C16" s="20">
        <f>VLOOKUP(A16,'[1]SQL DATA'!$B:$K,10,FALSE)</f>
        <v>725</v>
      </c>
      <c r="D16" s="20">
        <f>VLOOKUP(A16,'[1]SQL DATA'!$B:$J,9,FALSE)</f>
        <v>1450</v>
      </c>
      <c r="E16" s="15">
        <f>VLOOKUP(A16,'[1]SQL DATA'!$B:$J,7,FALSE)</f>
        <v>2200</v>
      </c>
      <c r="F16" s="16">
        <f>VLOOKUP(A16,'[1]SQL DATA'!$B:$J,6,FALSE)</f>
        <v>650</v>
      </c>
      <c r="G16" s="20">
        <v>1400</v>
      </c>
      <c r="H16" s="16">
        <v>2200</v>
      </c>
    </row>
    <row r="17" spans="1:11" x14ac:dyDescent="0.2">
      <c r="A17" s="37" t="s">
        <v>37</v>
      </c>
      <c r="B17" s="1" t="str">
        <f>VLOOKUP(A17,'[1]SQL DATA'!$B:$J,3,FALSE)</f>
        <v>F&amp;C - General Office Services Provided</v>
      </c>
      <c r="C17" s="20">
        <f>VLOOKUP(A17,'[1]SQL DATA'!$B:$K,10,FALSE)</f>
        <v>1962.52</v>
      </c>
      <c r="D17" s="20">
        <f>VLOOKUP(A17,'[1]SQL DATA'!$B:$J,9,FALSE)</f>
        <v>1211.8499999999999</v>
      </c>
      <c r="E17" s="15">
        <f>VLOOKUP(A17,'[1]SQL DATA'!$B:$J,7,FALSE)</f>
        <v>157.75</v>
      </c>
      <c r="F17" s="16">
        <f>VLOOKUP(A17,'[1]SQL DATA'!$B:$J,6,FALSE)</f>
        <v>133.41999999999999</v>
      </c>
      <c r="G17" s="20">
        <v>1200</v>
      </c>
      <c r="H17" s="16">
        <v>150</v>
      </c>
    </row>
    <row r="18" spans="1:11" x14ac:dyDescent="0.2">
      <c r="A18" s="37" t="s">
        <v>38</v>
      </c>
      <c r="B18" s="1" t="str">
        <f>VLOOKUP(A18,'[1]SQL DATA'!$B:$J,3,FALSE)</f>
        <v>F&amp;C - Notarize Documents</v>
      </c>
      <c r="C18" s="20">
        <f>VLOOKUP(A18,'[1]SQL DATA'!$B:$K,10,FALSE)</f>
        <v>210.57</v>
      </c>
      <c r="D18" s="20">
        <f>VLOOKUP(A18,'[1]SQL DATA'!$B:$J,9,FALSE)</f>
        <v>195</v>
      </c>
      <c r="E18" s="15">
        <f>VLOOKUP(A18,'[1]SQL DATA'!$B:$J,7,FALSE)</f>
        <v>175</v>
      </c>
      <c r="F18" s="16">
        <f>VLOOKUP(A18,'[1]SQL DATA'!$B:$J,6,FALSE)</f>
        <v>148.57</v>
      </c>
      <c r="G18" s="20">
        <v>200</v>
      </c>
      <c r="H18" s="16">
        <v>200</v>
      </c>
    </row>
    <row r="19" spans="1:11" x14ac:dyDescent="0.2">
      <c r="A19" s="37" t="s">
        <v>39</v>
      </c>
      <c r="B19" s="1" t="str">
        <f>VLOOKUP(A19,'[1]SQL DATA'!$B:$J,3,FALSE)</f>
        <v>F&amp;C - Administration Fees</v>
      </c>
      <c r="C19" s="20">
        <f>VLOOKUP(A19,'[1]SQL DATA'!$B:$K,10,FALSE)</f>
        <v>2390.48</v>
      </c>
      <c r="D19" s="20">
        <f>VLOOKUP(A19,'[1]SQL DATA'!$B:$J,9,FALSE)</f>
        <v>2250.2800000000002</v>
      </c>
      <c r="E19" s="15">
        <f>VLOOKUP(A19,'[1]SQL DATA'!$B:$J,7,FALSE)</f>
        <v>3674.28</v>
      </c>
      <c r="F19" s="16">
        <f>VLOOKUP(A19,'[1]SQL DATA'!$B:$J,6,FALSE)</f>
        <v>784.22</v>
      </c>
      <c r="G19" s="20">
        <v>500</v>
      </c>
      <c r="H19" s="16">
        <v>2720</v>
      </c>
    </row>
    <row r="20" spans="1:11" x14ac:dyDescent="0.2">
      <c r="A20" s="37" t="s">
        <v>40</v>
      </c>
      <c r="B20" s="1" t="str">
        <f>VLOOKUP(A20,'[1]SQL DATA'!$B:$J,3,FALSE)</f>
        <v>Interest Revenue</v>
      </c>
      <c r="C20" s="20">
        <f>VLOOKUP(A20,'[1]SQL DATA'!$B:$K,10,FALSE)</f>
        <v>11997.61</v>
      </c>
      <c r="D20" s="20">
        <f>VLOOKUP(A20,'[1]SQL DATA'!$B:$J,9,FALSE)</f>
        <v>13777.18</v>
      </c>
      <c r="E20" s="15">
        <f>VLOOKUP(A20,'[1]SQL DATA'!$B:$J,7,FALSE)</f>
        <v>11119.07</v>
      </c>
      <c r="F20" s="16">
        <f>VLOOKUP(A20,'[1]SQL DATA'!$B:$J,6,FALSE)</f>
        <v>12206.02</v>
      </c>
      <c r="G20" s="20">
        <v>14000</v>
      </c>
      <c r="H20" s="16">
        <v>11740</v>
      </c>
    </row>
    <row r="21" spans="1:11" x14ac:dyDescent="0.2">
      <c r="A21" s="37" t="s">
        <v>41</v>
      </c>
      <c r="B21" s="1" t="str">
        <f>VLOOKUP(A21,'[1]SQL DATA'!$B:$J,3,FALSE)</f>
        <v>F&amp;C - Housing Authority Surplus</v>
      </c>
      <c r="C21" s="20">
        <f>VLOOKUP(A21,'[1]SQL DATA'!$B:$K,10,FALSE)</f>
        <v>690.01</v>
      </c>
      <c r="D21" s="20">
        <f>VLOOKUP(A21,'[1]SQL DATA'!$B:$J,9,FALSE)</f>
        <v>0</v>
      </c>
      <c r="E21" s="15">
        <f>VLOOKUP(A21,'[1]SQL DATA'!$B:$J,7,FALSE)</f>
        <v>0</v>
      </c>
      <c r="F21" s="16">
        <f>VLOOKUP(A21,'[1]SQL DATA'!$B:$J,6,FALSE)</f>
        <v>0</v>
      </c>
      <c r="G21" s="20">
        <v>0</v>
      </c>
      <c r="H21" s="16">
        <v>0</v>
      </c>
    </row>
    <row r="22" spans="1:11" x14ac:dyDescent="0.2">
      <c r="A22" s="39" t="s">
        <v>42</v>
      </c>
      <c r="B22" s="39"/>
      <c r="C22" s="47">
        <f t="shared" ref="C22:G22" si="1">SUM(C9:C21)</f>
        <v>1506512.78</v>
      </c>
      <c r="D22" s="47">
        <f t="shared" si="1"/>
        <v>1499762.6000000003</v>
      </c>
      <c r="E22" s="47">
        <f t="shared" si="1"/>
        <v>1474284</v>
      </c>
      <c r="F22" s="48">
        <f t="shared" si="1"/>
        <v>1540750.99</v>
      </c>
      <c r="G22" s="47">
        <f t="shared" si="1"/>
        <v>1502160</v>
      </c>
      <c r="H22" s="48">
        <f>SUM(H9:H21)</f>
        <v>1569350</v>
      </c>
      <c r="I22" s="14"/>
      <c r="K22" s="14"/>
    </row>
    <row r="23" spans="1:11" x14ac:dyDescent="0.2">
      <c r="A23" s="39"/>
      <c r="B23" s="39"/>
      <c r="C23" s="39"/>
      <c r="D23" s="49"/>
      <c r="E23" s="49"/>
      <c r="F23" s="50"/>
      <c r="H23" s="50"/>
      <c r="I23" s="14"/>
      <c r="K23" s="14"/>
    </row>
    <row r="24" spans="1:11" x14ac:dyDescent="0.2">
      <c r="A24" s="34" t="s">
        <v>43</v>
      </c>
      <c r="B24" s="37"/>
      <c r="C24" s="37"/>
      <c r="D24" s="23"/>
      <c r="E24" s="23"/>
      <c r="F24" s="46"/>
      <c r="H24" s="46"/>
    </row>
    <row r="25" spans="1:11" x14ac:dyDescent="0.2">
      <c r="A25" s="37" t="s">
        <v>44</v>
      </c>
      <c r="B25" s="1" t="str">
        <f>VLOOKUP(A25,'[1]SQL DATA'!$B:$J,3,FALSE)</f>
        <v>Unconditional - Revenue Sharing</v>
      </c>
      <c r="C25" s="20">
        <f>VLOOKUP(A25,'[1]SQL DATA'!$B:$K,10,FALSE)</f>
        <v>296657</v>
      </c>
      <c r="D25" s="20">
        <f>VLOOKUP(A25,'[1]SQL DATA'!$B:$J,9,FALSE)</f>
        <v>328939</v>
      </c>
      <c r="E25" s="15">
        <f>VLOOKUP(A25,'[1]SQL DATA'!$B:$J,7,FALSE)</f>
        <v>325987</v>
      </c>
      <c r="F25" s="16">
        <f>VLOOKUP(A25,'[1]SQL DATA'!$B:$J,6,FALSE)</f>
        <v>80800</v>
      </c>
      <c r="G25" s="20">
        <v>325990</v>
      </c>
      <c r="H25" s="16">
        <v>323210</v>
      </c>
    </row>
    <row r="26" spans="1:11" x14ac:dyDescent="0.2">
      <c r="A26" s="37" t="s">
        <v>45</v>
      </c>
      <c r="B26" s="1" t="str">
        <f>VLOOKUP(A26,'[1]SQL DATA'!$B:$J,3,FALSE)</f>
        <v>Unconditional - Sask Energy Mun. Srchge</v>
      </c>
      <c r="C26" s="20">
        <f>VLOOKUP(A26,'[1]SQL DATA'!$B:$K,10,FALSE)</f>
        <v>37399.35</v>
      </c>
      <c r="D26" s="20">
        <f>VLOOKUP(A26,'[1]SQL DATA'!$B:$J,9,FALSE)</f>
        <v>35916.269999999997</v>
      </c>
      <c r="E26" s="15">
        <f>VLOOKUP(A26,'[1]SQL DATA'!$B:$J,7,FALSE)</f>
        <v>34679.64</v>
      </c>
      <c r="F26" s="16">
        <f>VLOOKUP(A26,'[1]SQL DATA'!$B:$J,6,FALSE)</f>
        <v>25654.94</v>
      </c>
      <c r="G26" s="20">
        <v>35910</v>
      </c>
      <c r="H26" s="16">
        <v>34680</v>
      </c>
    </row>
    <row r="27" spans="1:11" x14ac:dyDescent="0.2">
      <c r="A27" s="37" t="s">
        <v>46</v>
      </c>
      <c r="B27" s="1" t="str">
        <f>VLOOKUP(A27,'[1]SQL DATA'!$B:$J,3,FALSE)</f>
        <v>Unconditional - SaskPower Mun. Srchg</v>
      </c>
      <c r="C27" s="20">
        <f>VLOOKUP(A27,'[1]SQL DATA'!$B:$K,10,FALSE)</f>
        <v>87250.99</v>
      </c>
      <c r="D27" s="20">
        <f>VLOOKUP(A27,'[1]SQL DATA'!$B:$J,9,FALSE)</f>
        <v>88724.04</v>
      </c>
      <c r="E27" s="15">
        <f>VLOOKUP(A27,'[1]SQL DATA'!$B:$J,7,FALSE)</f>
        <v>91919.75</v>
      </c>
      <c r="F27" s="16">
        <f>VLOOKUP(A27,'[1]SQL DATA'!$B:$J,6,FALSE)</f>
        <v>47475.59</v>
      </c>
      <c r="G27" s="20">
        <v>88720</v>
      </c>
      <c r="H27" s="16">
        <v>91900</v>
      </c>
    </row>
    <row r="28" spans="1:11" x14ac:dyDescent="0.2">
      <c r="A28" s="37" t="s">
        <v>47</v>
      </c>
      <c r="B28" s="1" t="str">
        <f>VLOOKUP(A28,'[1]SQL DATA'!$B:$J,3,FALSE)</f>
        <v>Conditional - Federal - Gas Tax</v>
      </c>
      <c r="C28" s="20">
        <f>VLOOKUP(A28,'[1]SQL DATA'!$B:$K,10,FALSE)</f>
        <v>178589.7</v>
      </c>
      <c r="D28" s="20">
        <f>VLOOKUP(A28,'[1]SQL DATA'!$B:$J,9,FALSE)</f>
        <v>127794</v>
      </c>
      <c r="E28" s="15">
        <f>VLOOKUP(A28,'[1]SQL DATA'!$B:$J,7,FALSE)</f>
        <v>175951.4</v>
      </c>
      <c r="F28" s="16">
        <f>VLOOKUP(A28,'[1]SQL DATA'!$B:$J,6,FALSE)</f>
        <v>0</v>
      </c>
      <c r="G28" s="20">
        <v>89240</v>
      </c>
      <c r="H28" s="16">
        <v>89240</v>
      </c>
    </row>
    <row r="29" spans="1:11" x14ac:dyDescent="0.2">
      <c r="A29" s="37" t="s">
        <v>48</v>
      </c>
      <c r="B29" s="1" t="str">
        <f>VLOOKUP(A29,'[1]SQL DATA'!$B:$J,3,FALSE)</f>
        <v>Conditional - Prov - Safe Restart Prog.</v>
      </c>
      <c r="C29" s="20">
        <f>VLOOKUP(A29,'[1]SQL DATA'!$B:$K,10,FALSE)</f>
        <v>0</v>
      </c>
      <c r="D29" s="20">
        <f>VLOOKUP(A29,'[1]SQL DATA'!$B:$J,9,FALSE)</f>
        <v>86140</v>
      </c>
      <c r="E29" s="15">
        <f>VLOOKUP(A29,'[1]SQL DATA'!$B:$J,7,FALSE)</f>
        <v>0</v>
      </c>
      <c r="F29" s="16">
        <f>VLOOKUP(A29,'[1]SQL DATA'!$B:$J,6,FALSE)</f>
        <v>0</v>
      </c>
      <c r="G29" s="20">
        <v>0</v>
      </c>
      <c r="H29" s="16">
        <v>0</v>
      </c>
    </row>
    <row r="30" spans="1:11" x14ac:dyDescent="0.2">
      <c r="A30" s="37" t="s">
        <v>49</v>
      </c>
      <c r="B30" s="1" t="str">
        <f>VLOOKUP(A30,'[1]SQL DATA'!$B:$J,3,FALSE)</f>
        <v>Conditional - Prov - Transit Disabled</v>
      </c>
      <c r="C30" s="20">
        <f>VLOOKUP(A30,'[1]SQL DATA'!$B:$K,10,FALSE)</f>
        <v>1522</v>
      </c>
      <c r="D30" s="20">
        <f>VLOOKUP(A30,'[1]SQL DATA'!$B:$J,9,FALSE)</f>
        <v>1925</v>
      </c>
      <c r="E30" s="15">
        <f>VLOOKUP(A30,'[1]SQL DATA'!$B:$J,7,FALSE)</f>
        <v>1759</v>
      </c>
      <c r="F30" s="16">
        <f>VLOOKUP(A30,'[1]SQL DATA'!$B:$J,6,FALSE)</f>
        <v>3992</v>
      </c>
      <c r="G30" s="20">
        <v>1510</v>
      </c>
      <c r="H30" s="16">
        <v>1760</v>
      </c>
    </row>
    <row r="31" spans="1:11" x14ac:dyDescent="0.2">
      <c r="A31" s="39" t="s">
        <v>50</v>
      </c>
      <c r="B31" s="39"/>
      <c r="C31" s="47">
        <f>SUM(C25:C30)</f>
        <v>601419.04</v>
      </c>
      <c r="D31" s="47">
        <f>SUM(D25:D30)</f>
        <v>669438.31000000006</v>
      </c>
      <c r="E31" s="47">
        <f>SUM(E25:E30)</f>
        <v>630296.79</v>
      </c>
      <c r="F31" s="48">
        <f>SUM(F25:F30)</f>
        <v>157922.53</v>
      </c>
      <c r="G31" s="47">
        <f>SUM(G25:G30)</f>
        <v>541370</v>
      </c>
      <c r="H31" s="48">
        <f t="shared" ref="H31" si="2">SUM(H25:H30)</f>
        <v>540790</v>
      </c>
    </row>
    <row r="32" spans="1:11" x14ac:dyDescent="0.2">
      <c r="D32" s="20"/>
      <c r="E32" s="15"/>
      <c r="F32" s="16"/>
      <c r="H32" s="16"/>
    </row>
    <row r="33" spans="1:9" x14ac:dyDescent="0.2">
      <c r="A33" s="34" t="s">
        <v>7</v>
      </c>
      <c r="B33" s="51"/>
      <c r="C33" s="18">
        <f t="shared" ref="C33:H33" si="3">C6+C22+C31</f>
        <v>2107931.8200000003</v>
      </c>
      <c r="D33" s="18">
        <f t="shared" si="3"/>
        <v>2169200.91</v>
      </c>
      <c r="E33" s="18">
        <f t="shared" si="3"/>
        <v>2124830.12</v>
      </c>
      <c r="F33" s="19">
        <f t="shared" si="3"/>
        <v>1698673.52</v>
      </c>
      <c r="G33" s="18">
        <f t="shared" si="3"/>
        <v>2078530</v>
      </c>
      <c r="H33" s="19">
        <f t="shared" si="3"/>
        <v>2150260</v>
      </c>
      <c r="I33" s="14"/>
    </row>
    <row r="34" spans="1:9" x14ac:dyDescent="0.2">
      <c r="A34" s="34"/>
      <c r="B34" s="51"/>
      <c r="C34" s="51"/>
      <c r="D34" s="52"/>
      <c r="E34" s="52"/>
      <c r="F34" s="53"/>
      <c r="H34" s="53"/>
      <c r="I34" s="14"/>
    </row>
    <row r="35" spans="1:9" x14ac:dyDescent="0.2">
      <c r="A35" s="42" t="s">
        <v>9</v>
      </c>
      <c r="B35" s="7"/>
      <c r="C35" s="7"/>
      <c r="D35" s="20"/>
      <c r="E35" s="15"/>
      <c r="F35" s="16"/>
      <c r="H35" s="16"/>
    </row>
    <row r="36" spans="1:9" x14ac:dyDescent="0.2">
      <c r="A36" s="37" t="s">
        <v>51</v>
      </c>
      <c r="B36" s="54"/>
      <c r="C36" s="54"/>
      <c r="D36" s="20"/>
      <c r="E36" s="15"/>
      <c r="F36" s="16"/>
      <c r="H36" s="16"/>
    </row>
    <row r="37" spans="1:9" x14ac:dyDescent="0.2">
      <c r="A37" s="45" t="s">
        <v>52</v>
      </c>
      <c r="B37" s="1" t="str">
        <f>VLOOKUP(A37,'[1]SQL DATA'!$B:$J,3,FALSE)</f>
        <v>GG - Office Wages</v>
      </c>
      <c r="C37" s="20">
        <f>VLOOKUP(A37,'[1]SQL DATA'!$B:$K,10,FALSE)</f>
        <v>161471.54</v>
      </c>
      <c r="D37" s="20">
        <f>VLOOKUP(A37,'[1]SQL DATA'!$B:$J,9,FALSE)</f>
        <v>175757.49</v>
      </c>
      <c r="E37" s="15">
        <f>VLOOKUP(A37,'[1]SQL DATA'!$B:$J,7,FALSE)</f>
        <v>181765.63</v>
      </c>
      <c r="F37" s="16">
        <f>VLOOKUP(A37,'[1]SQL DATA'!$B:$J,6,FALSE)</f>
        <v>113921.99</v>
      </c>
      <c r="G37" s="23">
        <v>190200</v>
      </c>
      <c r="H37" s="16">
        <v>211080</v>
      </c>
    </row>
    <row r="38" spans="1:9" x14ac:dyDescent="0.2">
      <c r="A38" s="45" t="s">
        <v>53</v>
      </c>
      <c r="B38" s="1" t="str">
        <f>VLOOKUP(A38,'[1]SQL DATA'!$B:$J,3,FALSE)</f>
        <v>GG - Benefits - CPP</v>
      </c>
      <c r="C38" s="20">
        <f>VLOOKUP(A38,'[1]SQL DATA'!$B:$K,10,FALSE)</f>
        <v>4315.84</v>
      </c>
      <c r="D38" s="20">
        <f>VLOOKUP(A38,'[1]SQL DATA'!$B:$J,9,FALSE)</f>
        <v>7029.99</v>
      </c>
      <c r="E38" s="15">
        <f>VLOOKUP(A38,'[1]SQL DATA'!$B:$J,7,FALSE)</f>
        <v>7665.81</v>
      </c>
      <c r="F38" s="16">
        <f>VLOOKUP(A38,'[1]SQL DATA'!$B:$J,6,FALSE)</f>
        <v>6081.04</v>
      </c>
      <c r="G38" s="20">
        <v>7500</v>
      </c>
      <c r="H38" s="16">
        <f>H37*0.0495-448</f>
        <v>10000.460000000001</v>
      </c>
    </row>
    <row r="39" spans="1:9" x14ac:dyDescent="0.2">
      <c r="A39" s="45" t="s">
        <v>54</v>
      </c>
      <c r="B39" s="1" t="str">
        <f>VLOOKUP(A39,'[1]SQL DATA'!$B:$J,3,FALSE)</f>
        <v>GG - Benefits - EI</v>
      </c>
      <c r="C39" s="20">
        <f>VLOOKUP(A39,'[1]SQL DATA'!$B:$K,10,FALSE)</f>
        <v>3973.08</v>
      </c>
      <c r="D39" s="20">
        <f>VLOOKUP(A39,'[1]SQL DATA'!$B:$J,9,FALSE)</f>
        <v>2759.81</v>
      </c>
      <c r="E39" s="15">
        <f>VLOOKUP(A39,'[1]SQL DATA'!$B:$J,7,FALSE)</f>
        <v>2821.21</v>
      </c>
      <c r="F39" s="16">
        <f>VLOOKUP(A39,'[1]SQL DATA'!$B:$J,6,FALSE)</f>
        <v>2444.8000000000002</v>
      </c>
      <c r="G39" s="20">
        <v>3000</v>
      </c>
      <c r="H39" s="16">
        <f>H37*0.02443-57</f>
        <v>5099.6844000000001</v>
      </c>
    </row>
    <row r="40" spans="1:9" x14ac:dyDescent="0.2">
      <c r="A40" s="45" t="s">
        <v>55</v>
      </c>
      <c r="B40" s="1" t="str">
        <f>VLOOKUP(A40,'[1]SQL DATA'!$B:$J,3,FALSE)</f>
        <v>GG - Benefits - MEPP</v>
      </c>
      <c r="C40" s="20">
        <f>VLOOKUP(A40,'[1]SQL DATA'!$B:$K,10,FALSE)</f>
        <v>15884.36</v>
      </c>
      <c r="D40" s="20">
        <f>VLOOKUP(A40,'[1]SQL DATA'!$B:$J,9,FALSE)</f>
        <v>15769.25</v>
      </c>
      <c r="E40" s="15">
        <f>VLOOKUP(A40,'[1]SQL DATA'!$B:$J,7,FALSE)</f>
        <v>16101.78</v>
      </c>
      <c r="F40" s="16">
        <f>VLOOKUP(A40,'[1]SQL DATA'!$B:$J,6,FALSE)</f>
        <v>9828.02</v>
      </c>
      <c r="G40" s="20">
        <v>16660</v>
      </c>
      <c r="H40" s="16">
        <f>H37*0.09-1997</f>
        <v>17000.2</v>
      </c>
    </row>
    <row r="41" spans="1:9" x14ac:dyDescent="0.2">
      <c r="A41" s="45" t="s">
        <v>56</v>
      </c>
      <c r="B41" s="1" t="str">
        <f>VLOOKUP(A41,'[1]SQL DATA'!$B:$J,3,FALSE)</f>
        <v>GG - Benefits - Worker Compensation</v>
      </c>
      <c r="C41" s="20">
        <f>VLOOKUP(A41,'[1]SQL DATA'!$B:$K,10,FALSE)</f>
        <v>743.86</v>
      </c>
      <c r="D41" s="20">
        <f>VLOOKUP(A41,'[1]SQL DATA'!$B:$J,9,FALSE)</f>
        <v>3218.08</v>
      </c>
      <c r="E41" s="15">
        <f>VLOOKUP(A41,'[1]SQL DATA'!$B:$J,7,FALSE)</f>
        <v>2921.19</v>
      </c>
      <c r="F41" s="16">
        <f>VLOOKUP(A41,'[1]SQL DATA'!$B:$J,6,FALSE)</f>
        <v>3070.8</v>
      </c>
      <c r="G41" s="20">
        <v>3300</v>
      </c>
      <c r="H41" s="16">
        <f>H37*0.01-1</f>
        <v>2109.8000000000002</v>
      </c>
    </row>
    <row r="42" spans="1:9" x14ac:dyDescent="0.2">
      <c r="A42" s="45" t="s">
        <v>57</v>
      </c>
      <c r="B42" s="1" t="str">
        <f>VLOOKUP(A42,'[1]SQL DATA'!$B:$J,3,FALSE)</f>
        <v>GG - Group Benefits</v>
      </c>
      <c r="C42" s="20">
        <f>VLOOKUP(A42,'[1]SQL DATA'!$B:$K,10,FALSE)</f>
        <v>12739.65</v>
      </c>
      <c r="D42" s="20">
        <f>VLOOKUP(A42,'[1]SQL DATA'!$B:$J,9,FALSE)</f>
        <v>13391.47</v>
      </c>
      <c r="E42" s="15">
        <f>VLOOKUP(A42,'[1]SQL DATA'!$B:$J,7,FALSE)</f>
        <v>11708.96</v>
      </c>
      <c r="F42" s="16">
        <f>VLOOKUP(A42,'[1]SQL DATA'!$B:$J,6,FALSE)</f>
        <v>6405.01</v>
      </c>
      <c r="G42" s="20">
        <v>13500</v>
      </c>
      <c r="H42" s="16">
        <f>H37*0.06-5-430</f>
        <v>12229.8</v>
      </c>
    </row>
    <row r="43" spans="1:9" x14ac:dyDescent="0.2">
      <c r="A43" s="55" t="s">
        <v>58</v>
      </c>
      <c r="B43" s="55"/>
      <c r="C43" s="47">
        <f>SUM(C37:C42)</f>
        <v>199128.33</v>
      </c>
      <c r="D43" s="47">
        <f>SUM(D37:D42)</f>
        <v>217926.08999999997</v>
      </c>
      <c r="E43" s="47">
        <f>SUM(E37:E42)</f>
        <v>222984.58</v>
      </c>
      <c r="F43" s="48">
        <f>SUM(F37:F42)</f>
        <v>141751.66</v>
      </c>
      <c r="G43" s="47">
        <f t="shared" ref="G43:H43" si="4">SUM(G37:G42)</f>
        <v>234160</v>
      </c>
      <c r="H43" s="48">
        <f t="shared" si="4"/>
        <v>257519.94439999998</v>
      </c>
    </row>
    <row r="44" spans="1:9" x14ac:dyDescent="0.2">
      <c r="A44" s="37" t="s">
        <v>8</v>
      </c>
      <c r="D44" s="20"/>
      <c r="E44" s="15"/>
      <c r="F44" s="16"/>
      <c r="H44" s="16"/>
    </row>
    <row r="45" spans="1:9" x14ac:dyDescent="0.2">
      <c r="A45" s="34" t="s">
        <v>59</v>
      </c>
      <c r="B45" s="54"/>
      <c r="C45" s="54"/>
      <c r="D45" s="20"/>
      <c r="E45" s="15"/>
      <c r="F45" s="16"/>
      <c r="H45" s="16"/>
    </row>
    <row r="46" spans="1:9" x14ac:dyDescent="0.2">
      <c r="A46" s="37" t="s">
        <v>60</v>
      </c>
      <c r="B46" s="1" t="str">
        <f>VLOOKUP(A46,'[1]SQL DATA'!$B:$J,3,FALSE)</f>
        <v>GG - Cont. - Legal</v>
      </c>
      <c r="C46" s="20">
        <f>VLOOKUP(A46,'[1]SQL DATA'!$B:$K,10,FALSE)</f>
        <v>8309.6299999999992</v>
      </c>
      <c r="D46" s="20">
        <f>VLOOKUP(A46,'[1]SQL DATA'!$B:$J,9,FALSE)</f>
        <v>4766.3</v>
      </c>
      <c r="E46" s="15">
        <f>VLOOKUP(A46,'[1]SQL DATA'!$B:$J,7,FALSE)</f>
        <v>8942.34</v>
      </c>
      <c r="F46" s="16">
        <f>VLOOKUP(A46,'[1]SQL DATA'!$B:$J,6,FALSE)</f>
        <v>4459.95</v>
      </c>
      <c r="G46" s="20">
        <v>10000</v>
      </c>
      <c r="H46" s="16">
        <v>15000</v>
      </c>
    </row>
    <row r="47" spans="1:9" x14ac:dyDescent="0.2">
      <c r="A47" s="37" t="s">
        <v>61</v>
      </c>
      <c r="B47" s="1" t="str">
        <f>VLOOKUP(A47,'[1]SQL DATA'!$B:$J,3,FALSE)</f>
        <v>GG - Cont. - Audit/Accounting</v>
      </c>
      <c r="C47" s="20">
        <f>VLOOKUP(A47,'[1]SQL DATA'!$B:$K,10,FALSE)</f>
        <v>26597.09</v>
      </c>
      <c r="D47" s="20">
        <f>VLOOKUP(A47,'[1]SQL DATA'!$B:$J,9,FALSE)</f>
        <v>10950.7</v>
      </c>
      <c r="E47" s="15">
        <f>VLOOKUP(A47,'[1]SQL DATA'!$B:$J,7,FALSE)</f>
        <v>10637.1</v>
      </c>
      <c r="F47" s="16">
        <f>VLOOKUP(A47,'[1]SQL DATA'!$B:$J,6,FALSE)</f>
        <v>8957</v>
      </c>
      <c r="G47" s="20">
        <v>11000</v>
      </c>
      <c r="H47" s="16">
        <v>11000</v>
      </c>
    </row>
    <row r="48" spans="1:9" x14ac:dyDescent="0.2">
      <c r="A48" s="37" t="s">
        <v>62</v>
      </c>
      <c r="B48" s="1" t="str">
        <f>VLOOKUP(A48,'[1]SQL DATA'!$B:$J,3,FALSE)</f>
        <v>GG - Cont. - Assessment - SAMA</v>
      </c>
      <c r="C48" s="20">
        <f>VLOOKUP(A48,'[1]SQL DATA'!$B:$K,10,FALSE)</f>
        <v>19593</v>
      </c>
      <c r="D48" s="20">
        <f>VLOOKUP(A48,'[1]SQL DATA'!$B:$J,9,FALSE)</f>
        <v>19871</v>
      </c>
      <c r="E48" s="15">
        <f>VLOOKUP(A48,'[1]SQL DATA'!$B:$J,7,FALSE)</f>
        <v>21007</v>
      </c>
      <c r="F48" s="16">
        <f>VLOOKUP(A48,'[1]SQL DATA'!$B:$J,6,FALSE)</f>
        <v>20286</v>
      </c>
      <c r="G48" s="20">
        <v>21000</v>
      </c>
      <c r="H48" s="16">
        <v>21000</v>
      </c>
    </row>
    <row r="49" spans="1:8" x14ac:dyDescent="0.2">
      <c r="A49" s="37" t="s">
        <v>63</v>
      </c>
      <c r="B49" s="1" t="str">
        <f>VLOOKUP(A49,'[1]SQL DATA'!$B:$J,3,FALSE)</f>
        <v>GG - Cont. - Asset Management</v>
      </c>
      <c r="C49" s="20">
        <f>VLOOKUP(A49,'[1]SQL DATA'!$B:$K,10,FALSE)</f>
        <v>5618.34</v>
      </c>
      <c r="D49" s="20">
        <f>VLOOKUP(A49,'[1]SQL DATA'!$B:$J,9,FALSE)</f>
        <v>6342.97</v>
      </c>
      <c r="E49" s="15">
        <f>VLOOKUP(A49,'[1]SQL DATA'!$B:$J,7,FALSE)</f>
        <v>18159.650000000001</v>
      </c>
      <c r="F49" s="16">
        <f>VLOOKUP(A49,'[1]SQL DATA'!$B:$J,6,FALSE)</f>
        <v>58757.95</v>
      </c>
      <c r="G49" s="20">
        <v>35000</v>
      </c>
      <c r="H49" s="16">
        <f>24000+26820+15000+5000+10000</f>
        <v>80820</v>
      </c>
    </row>
    <row r="50" spans="1:8" x14ac:dyDescent="0.2">
      <c r="A50" s="37" t="s">
        <v>64</v>
      </c>
      <c r="B50" s="1" t="str">
        <f>VLOOKUP(A50,'[1]SQL DATA'!$B:$J,3,FALSE)</f>
        <v>GG - Cont. - Office Caretaking</v>
      </c>
      <c r="C50" s="20">
        <f>VLOOKUP(A50,'[1]SQL DATA'!$B:$K,10,FALSE)</f>
        <v>4200</v>
      </c>
      <c r="D50" s="20">
        <f>VLOOKUP(A50,'[1]SQL DATA'!$B:$J,9,FALSE)</f>
        <v>4200</v>
      </c>
      <c r="E50" s="15">
        <f>VLOOKUP(A50,'[1]SQL DATA'!$B:$J,7,FALSE)</f>
        <v>4638.3900000000003</v>
      </c>
      <c r="F50" s="16">
        <f>VLOOKUP(A50,'[1]SQL DATA'!$B:$J,6,FALSE)</f>
        <v>3143.19</v>
      </c>
      <c r="G50" s="20">
        <v>4200</v>
      </c>
      <c r="H50" s="16">
        <v>5000</v>
      </c>
    </row>
    <row r="51" spans="1:8" x14ac:dyDescent="0.2">
      <c r="A51" s="37" t="s">
        <v>65</v>
      </c>
      <c r="B51" s="1" t="str">
        <f>VLOOKUP(A51,'[1]SQL DATA'!$B:$J,3,FALSE)</f>
        <v>GG - Doctor Recruitment Fund</v>
      </c>
      <c r="C51" s="20">
        <f>VLOOKUP(A51,'[1]SQL DATA'!$B:$K,10,FALSE)</f>
        <v>7220</v>
      </c>
      <c r="D51" s="20">
        <f>VLOOKUP(A51,'[1]SQL DATA'!$B:$J,9,FALSE)</f>
        <v>7220</v>
      </c>
      <c r="E51" s="15">
        <f>VLOOKUP(A51,'[1]SQL DATA'!$B:$J,7,FALSE)</f>
        <v>7220</v>
      </c>
      <c r="F51" s="16">
        <f>VLOOKUP(A51,'[1]SQL DATA'!$B:$J,6,FALSE)</f>
        <v>10570</v>
      </c>
      <c r="G51" s="20">
        <v>7220</v>
      </c>
      <c r="H51" s="16">
        <v>7220</v>
      </c>
    </row>
    <row r="52" spans="1:8" x14ac:dyDescent="0.2">
      <c r="A52" s="55" t="s">
        <v>66</v>
      </c>
      <c r="B52" s="55"/>
      <c r="C52" s="47">
        <f>SUM(C46:C51)</f>
        <v>71538.06</v>
      </c>
      <c r="D52" s="47">
        <f>SUM(D46:D51)</f>
        <v>53350.97</v>
      </c>
      <c r="E52" s="47">
        <f>SUM(E46:E51)</f>
        <v>70604.48000000001</v>
      </c>
      <c r="F52" s="48">
        <f>SUM(F46:F51)</f>
        <v>106174.09</v>
      </c>
      <c r="G52" s="47">
        <f t="shared" ref="G52:H52" si="5">SUM(G46:G51)</f>
        <v>88420</v>
      </c>
      <c r="H52" s="48">
        <f t="shared" si="5"/>
        <v>140040</v>
      </c>
    </row>
    <row r="53" spans="1:8" x14ac:dyDescent="0.2">
      <c r="A53" s="37" t="s">
        <v>8</v>
      </c>
      <c r="D53" s="24"/>
      <c r="E53" s="56"/>
      <c r="F53" s="57"/>
      <c r="H53" s="57"/>
    </row>
    <row r="54" spans="1:8" x14ac:dyDescent="0.2">
      <c r="A54" s="34" t="s">
        <v>67</v>
      </c>
      <c r="B54" s="54"/>
      <c r="C54" s="54"/>
      <c r="D54" s="24"/>
      <c r="E54" s="56"/>
      <c r="F54" s="57"/>
      <c r="H54" s="57"/>
    </row>
    <row r="55" spans="1:8" x14ac:dyDescent="0.2">
      <c r="A55" s="37" t="s">
        <v>68</v>
      </c>
      <c r="B55" s="1" t="str">
        <f>VLOOKUP(A55,'[1]SQL DATA'!$B:$J,3,FALSE)</f>
        <v>GG - Utility - Heat - Office</v>
      </c>
      <c r="C55" s="20">
        <f>VLOOKUP(A55,'[1]SQL DATA'!$B:$K,10,FALSE)</f>
        <v>1970.99</v>
      </c>
      <c r="D55" s="20">
        <f>VLOOKUP(A55,'[1]SQL DATA'!$B:$J,9,FALSE)</f>
        <v>1483.37</v>
      </c>
      <c r="E55" s="15">
        <f>VLOOKUP(A55,'[1]SQL DATA'!$B:$J,7,FALSE)</f>
        <v>2322.41</v>
      </c>
      <c r="F55" s="16">
        <f>VLOOKUP(A55,'[1]SQL DATA'!$B:$J,6,FALSE)</f>
        <v>3378.33</v>
      </c>
      <c r="G55" s="20">
        <v>1500</v>
      </c>
      <c r="H55" s="16">
        <v>1700</v>
      </c>
    </row>
    <row r="56" spans="1:8" x14ac:dyDescent="0.2">
      <c r="A56" s="37" t="s">
        <v>69</v>
      </c>
      <c r="B56" s="1" t="str">
        <f>VLOOKUP(A56,'[1]SQL DATA'!$B:$J,3,FALSE)</f>
        <v>GG - Utility - Power - Office</v>
      </c>
      <c r="C56" s="20">
        <f>VLOOKUP(A56,'[1]SQL DATA'!$B:$K,10,FALSE)</f>
        <v>2166.92</v>
      </c>
      <c r="D56" s="20">
        <f>VLOOKUP(A56,'[1]SQL DATA'!$B:$J,9,FALSE)</f>
        <v>2348.3200000000002</v>
      </c>
      <c r="E56" s="15">
        <f>VLOOKUP(A56,'[1]SQL DATA'!$B:$J,7,FALSE)</f>
        <v>2537</v>
      </c>
      <c r="F56" s="16">
        <f>VLOOKUP(A56,'[1]SQL DATA'!$B:$J,6,FALSE)</f>
        <v>1786.96</v>
      </c>
      <c r="G56" s="20">
        <v>2400</v>
      </c>
      <c r="H56" s="16">
        <v>2260</v>
      </c>
    </row>
    <row r="57" spans="1:8" x14ac:dyDescent="0.2">
      <c r="A57" s="37" t="s">
        <v>70</v>
      </c>
      <c r="B57" s="1" t="str">
        <f>VLOOKUP(A57,'[1]SQL DATA'!$B:$J,3,FALSE)</f>
        <v>GG - Utility - Water - Office</v>
      </c>
      <c r="C57" s="20">
        <f>VLOOKUP(A57,'[1]SQL DATA'!$B:$K,10,FALSE)</f>
        <v>754.56</v>
      </c>
      <c r="D57" s="20">
        <f>VLOOKUP(A57,'[1]SQL DATA'!$B:$J,9,FALSE)</f>
        <v>849.08</v>
      </c>
      <c r="E57" s="15">
        <f>VLOOKUP(A57,'[1]SQL DATA'!$B:$J,7,FALSE)</f>
        <v>1198.94</v>
      </c>
      <c r="F57" s="16">
        <f>VLOOKUP(A57,'[1]SQL DATA'!$B:$J,6,FALSE)</f>
        <v>804.28</v>
      </c>
      <c r="G57" s="20">
        <v>850</v>
      </c>
      <c r="H57" s="16">
        <v>800</v>
      </c>
    </row>
    <row r="58" spans="1:8" x14ac:dyDescent="0.2">
      <c r="A58" s="37" t="s">
        <v>71</v>
      </c>
      <c r="B58" s="1" t="str">
        <f>VLOOKUP(A58,'[1]SQL DATA'!$B:$J,3,FALSE)</f>
        <v>GG - Utility - Telephone - Office</v>
      </c>
      <c r="C58" s="20">
        <f>VLOOKUP(A58,'[1]SQL DATA'!$B:$K,10,FALSE)</f>
        <v>6031.6</v>
      </c>
      <c r="D58" s="20">
        <f>VLOOKUP(A58,'[1]SQL DATA'!$B:$J,9,FALSE)</f>
        <v>6753.94</v>
      </c>
      <c r="E58" s="15">
        <f>VLOOKUP(A58,'[1]SQL DATA'!$B:$J,7,FALSE)</f>
        <v>7260.12</v>
      </c>
      <c r="F58" s="16">
        <f>VLOOKUP(A58,'[1]SQL DATA'!$B:$J,6,FALSE)</f>
        <v>4444.62</v>
      </c>
      <c r="G58" s="20">
        <v>6800</v>
      </c>
      <c r="H58" s="16">
        <v>7500</v>
      </c>
    </row>
    <row r="59" spans="1:8" x14ac:dyDescent="0.2">
      <c r="A59" s="55" t="s">
        <v>72</v>
      </c>
      <c r="B59" s="55"/>
      <c r="C59" s="47">
        <f>SUM(C55:C58)</f>
        <v>10924.07</v>
      </c>
      <c r="D59" s="47">
        <f>SUM(D55:D58)</f>
        <v>11434.71</v>
      </c>
      <c r="E59" s="47">
        <f>SUM(E55:E58)</f>
        <v>13318.470000000001</v>
      </c>
      <c r="F59" s="48">
        <f>SUM(F55:F58)</f>
        <v>10414.189999999999</v>
      </c>
      <c r="G59" s="47">
        <f t="shared" ref="G59:H59" si="6">SUM(G55:G58)</f>
        <v>11550</v>
      </c>
      <c r="H59" s="48">
        <f t="shared" si="6"/>
        <v>12260</v>
      </c>
    </row>
    <row r="60" spans="1:8" x14ac:dyDescent="0.2">
      <c r="A60" s="37" t="s">
        <v>8</v>
      </c>
      <c r="D60" s="20"/>
      <c r="E60" s="15"/>
      <c r="F60" s="16"/>
      <c r="H60" s="16"/>
    </row>
    <row r="61" spans="1:8" x14ac:dyDescent="0.2">
      <c r="A61" s="34" t="s">
        <v>73</v>
      </c>
      <c r="B61" s="54"/>
      <c r="C61" s="54"/>
      <c r="D61" s="20"/>
      <c r="E61" s="15"/>
      <c r="F61" s="16"/>
      <c r="H61" s="16"/>
    </row>
    <row r="62" spans="1:8" x14ac:dyDescent="0.2">
      <c r="A62" s="37" t="s">
        <v>74</v>
      </c>
      <c r="B62" s="1" t="str">
        <f>VLOOKUP(A62,'[1]SQL DATA'!$B:$J,3,FALSE)</f>
        <v>GG - Cont. - Advertising &amp; Promotion</v>
      </c>
      <c r="C62" s="20">
        <f>VLOOKUP(A62,'[1]SQL DATA'!$B:$K,10,FALSE)</f>
        <v>4164.3500000000004</v>
      </c>
      <c r="D62" s="20">
        <f>VLOOKUP(A62,'[1]SQL DATA'!$B:$J,9,FALSE)</f>
        <v>1998.88</v>
      </c>
      <c r="E62" s="15">
        <f>VLOOKUP(A62,'[1]SQL DATA'!$B:$J,7,FALSE)</f>
        <v>2490.5100000000002</v>
      </c>
      <c r="F62" s="16">
        <f>VLOOKUP(A62,'[1]SQL DATA'!$B:$J,6,FALSE)</f>
        <v>5167.75</v>
      </c>
      <c r="G62" s="20">
        <v>4500</v>
      </c>
      <c r="H62" s="16">
        <v>4500</v>
      </c>
    </row>
    <row r="63" spans="1:8" x14ac:dyDescent="0.2">
      <c r="A63" s="37" t="s">
        <v>75</v>
      </c>
      <c r="B63" s="1" t="str">
        <f>VLOOKUP(A63,'[1]SQL DATA'!$B:$J,3,FALSE)</f>
        <v>GG - Admin. - Training</v>
      </c>
      <c r="C63" s="20">
        <f>VLOOKUP(A63,'[1]SQL DATA'!$B:$K,10,FALSE)</f>
        <v>4289.7700000000004</v>
      </c>
      <c r="D63" s="20">
        <f>VLOOKUP(A63,'[1]SQL DATA'!$B:$J,9,FALSE)</f>
        <v>2717.37</v>
      </c>
      <c r="E63" s="15">
        <f>VLOOKUP(A63,'[1]SQL DATA'!$B:$J,7,FALSE)</f>
        <v>5334.58</v>
      </c>
      <c r="F63" s="16">
        <f>VLOOKUP(A63,'[1]SQL DATA'!$B:$J,6,FALSE)</f>
        <v>2271.41</v>
      </c>
      <c r="G63" s="20">
        <v>6000</v>
      </c>
      <c r="H63" s="16">
        <v>7000</v>
      </c>
    </row>
    <row r="64" spans="1:8" x14ac:dyDescent="0.2">
      <c r="A64" s="37" t="s">
        <v>76</v>
      </c>
      <c r="B64" s="1" t="str">
        <f>VLOOKUP(A64,'[1]SQL DATA'!$B:$J,3,FALSE)</f>
        <v>GG - Cont. - Insurance - General &amp; Bond</v>
      </c>
      <c r="C64" s="20">
        <f>VLOOKUP(A64,'[1]SQL DATA'!$B:$K,10,FALSE)</f>
        <v>8094.69</v>
      </c>
      <c r="D64" s="20">
        <f>VLOOKUP(A64,'[1]SQL DATA'!$B:$J,9,FALSE)</f>
        <v>6943.24</v>
      </c>
      <c r="E64" s="15">
        <f>VLOOKUP(A64,'[1]SQL DATA'!$B:$J,7,FALSE)</f>
        <v>11034.15</v>
      </c>
      <c r="F64" s="16">
        <f>VLOOKUP(A64,'[1]SQL DATA'!$B:$J,6,FALSE)</f>
        <v>12115.34</v>
      </c>
      <c r="G64" s="20">
        <v>10070</v>
      </c>
      <c r="H64" s="16">
        <v>11050</v>
      </c>
    </row>
    <row r="65" spans="1:8" x14ac:dyDescent="0.2">
      <c r="A65" s="37" t="s">
        <v>77</v>
      </c>
      <c r="B65" s="1" t="str">
        <f>VLOOKUP(A65,'[1]SQL DATA'!$B:$J,3,FALSE)</f>
        <v>GG - Cont. - Memberships &amp; Subscriptions</v>
      </c>
      <c r="C65" s="20">
        <f>VLOOKUP(A65,'[1]SQL DATA'!$B:$K,10,FALSE)</f>
        <v>14294.42</v>
      </c>
      <c r="D65" s="20">
        <f>VLOOKUP(A65,'[1]SQL DATA'!$B:$J,9,FALSE)</f>
        <v>12909.38</v>
      </c>
      <c r="E65" s="15">
        <f>VLOOKUP(A65,'[1]SQL DATA'!$B:$J,7,FALSE)</f>
        <v>32551.360000000001</v>
      </c>
      <c r="F65" s="16">
        <f>VLOOKUP(A65,'[1]SQL DATA'!$B:$J,6,FALSE)</f>
        <v>28930.560000000001</v>
      </c>
      <c r="G65" s="20">
        <v>25000</v>
      </c>
      <c r="H65" s="16">
        <v>30000</v>
      </c>
    </row>
    <row r="66" spans="1:8" x14ac:dyDescent="0.2">
      <c r="A66" s="37" t="s">
        <v>78</v>
      </c>
      <c r="B66" s="1" t="str">
        <f>VLOOKUP(A66,'[1]SQL DATA'!$B:$J,3,FALSE)</f>
        <v>GG - Cont. - Elections</v>
      </c>
      <c r="C66" s="20">
        <f>VLOOKUP(A66,'[1]SQL DATA'!$B:$K,10,FALSE)</f>
        <v>0</v>
      </c>
      <c r="D66" s="20">
        <f>VLOOKUP(A66,'[1]SQL DATA'!$B:$J,9,FALSE)</f>
        <v>3054.85</v>
      </c>
      <c r="E66" s="15">
        <f>VLOOKUP(A66,'[1]SQL DATA'!$B:$J,7,FALSE)</f>
        <v>2982</v>
      </c>
      <c r="F66" s="16">
        <f>VLOOKUP(A66,'[1]SQL DATA'!$B:$J,6,FALSE)</f>
        <v>0</v>
      </c>
      <c r="G66" s="20">
        <v>0</v>
      </c>
      <c r="H66" s="16">
        <v>3000</v>
      </c>
    </row>
    <row r="67" spans="1:8" x14ac:dyDescent="0.2">
      <c r="A67" s="37" t="s">
        <v>79</v>
      </c>
      <c r="B67" s="1" t="str">
        <f>VLOOKUP(A67,'[1]SQL DATA'!$B:$J,3,FALSE)</f>
        <v>GG - Cont. - Maintenance - Building</v>
      </c>
      <c r="C67" s="20">
        <f>VLOOKUP(A67,'[1]SQL DATA'!$B:$K,10,FALSE)</f>
        <v>6672.08</v>
      </c>
      <c r="D67" s="20">
        <f>VLOOKUP(A67,'[1]SQL DATA'!$B:$J,9,FALSE)</f>
        <v>6895.15</v>
      </c>
      <c r="E67" s="15">
        <f>VLOOKUP(A67,'[1]SQL DATA'!$B:$J,7,FALSE)</f>
        <v>1529.25</v>
      </c>
      <c r="F67" s="16">
        <f>VLOOKUP(A67,'[1]SQL DATA'!$B:$J,6,FALSE)</f>
        <v>1747.79</v>
      </c>
      <c r="G67" s="20">
        <v>9700</v>
      </c>
      <c r="H67" s="16">
        <v>9700</v>
      </c>
    </row>
    <row r="68" spans="1:8" x14ac:dyDescent="0.2">
      <c r="A68" s="37" t="s">
        <v>80</v>
      </c>
      <c r="B68" s="1" t="str">
        <f>VLOOKUP(A68,'[1]SQL DATA'!$B:$J,3,FALSE)</f>
        <v>GG - Maint. - Postage</v>
      </c>
      <c r="C68" s="20">
        <f>VLOOKUP(A68,'[1]SQL DATA'!$B:$K,10,FALSE)</f>
        <v>9449.2800000000007</v>
      </c>
      <c r="D68" s="20">
        <f>VLOOKUP(A68,'[1]SQL DATA'!$B:$J,9,FALSE)</f>
        <v>4991.51</v>
      </c>
      <c r="E68" s="15">
        <f>VLOOKUP(A68,'[1]SQL DATA'!$B:$J,7,FALSE)</f>
        <v>9129.7199999999993</v>
      </c>
      <c r="F68" s="16">
        <f>VLOOKUP(A68,'[1]SQL DATA'!$B:$J,6,FALSE)</f>
        <v>-260.97000000000003</v>
      </c>
      <c r="G68" s="20">
        <v>6000</v>
      </c>
      <c r="H68" s="16">
        <v>9150</v>
      </c>
    </row>
    <row r="69" spans="1:8" x14ac:dyDescent="0.2">
      <c r="A69" s="37" t="s">
        <v>81</v>
      </c>
      <c r="B69" s="1" t="str">
        <f>VLOOKUP(A69,'[1]SQL DATA'!$B:$J,3,FALSE)</f>
        <v>GG - Maint. - Office Supplies</v>
      </c>
      <c r="C69" s="20">
        <f>VLOOKUP(A69,'[1]SQL DATA'!$B:$K,10,FALSE)</f>
        <v>4154.3599999999997</v>
      </c>
      <c r="D69" s="20">
        <f>VLOOKUP(A69,'[1]SQL DATA'!$B:$J,9,FALSE)</f>
        <v>5709.29</v>
      </c>
      <c r="E69" s="15">
        <f>VLOOKUP(A69,'[1]SQL DATA'!$B:$J,7,FALSE)</f>
        <v>4126.03</v>
      </c>
      <c r="F69" s="16">
        <f>VLOOKUP(A69,'[1]SQL DATA'!$B:$J,6,FALSE)</f>
        <v>891.17</v>
      </c>
      <c r="G69" s="20">
        <v>5500</v>
      </c>
      <c r="H69" s="16">
        <v>5500</v>
      </c>
    </row>
    <row r="70" spans="1:8" x14ac:dyDescent="0.2">
      <c r="A70" s="37" t="s">
        <v>82</v>
      </c>
      <c r="B70" s="1" t="str">
        <f>VLOOKUP(A70,'[1]SQL DATA'!$B:$J,3,FALSE)</f>
        <v>GG - Maint. - Discretionary Fund</v>
      </c>
      <c r="C70" s="20">
        <f>VLOOKUP(A70,'[1]SQL DATA'!$B:$K,10,FALSE)</f>
        <v>1541.2</v>
      </c>
      <c r="D70" s="20">
        <f>VLOOKUP(A70,'[1]SQL DATA'!$B:$J,9,FALSE)</f>
        <v>1792.56</v>
      </c>
      <c r="E70" s="15">
        <f>VLOOKUP(A70,'[1]SQL DATA'!$B:$J,7,FALSE)</f>
        <v>847.68</v>
      </c>
      <c r="F70" s="16">
        <f>VLOOKUP(A70,'[1]SQL DATA'!$B:$J,6,FALSE)</f>
        <v>334.76</v>
      </c>
      <c r="G70" s="20">
        <v>4000</v>
      </c>
      <c r="H70" s="16">
        <v>4000</v>
      </c>
    </row>
    <row r="71" spans="1:8" x14ac:dyDescent="0.2">
      <c r="A71" s="37" t="s">
        <v>83</v>
      </c>
      <c r="B71" s="1" t="str">
        <f>VLOOKUP(A71,'[1]SQL DATA'!$B:$J,3,FALSE)</f>
        <v>GG - Maint. - Janitor Supplies</v>
      </c>
      <c r="C71" s="20">
        <f>VLOOKUP(A71,'[1]SQL DATA'!$B:$K,10,FALSE)</f>
        <v>494.06</v>
      </c>
      <c r="D71" s="20">
        <f>VLOOKUP(A71,'[1]SQL DATA'!$B:$J,9,FALSE)</f>
        <v>702.89</v>
      </c>
      <c r="E71" s="15">
        <f>VLOOKUP(A71,'[1]SQL DATA'!$B:$J,7,FALSE)</f>
        <v>184.9</v>
      </c>
      <c r="F71" s="16">
        <f>VLOOKUP(A71,'[1]SQL DATA'!$B:$J,6,FALSE)</f>
        <v>134.94999999999999</v>
      </c>
      <c r="G71" s="20">
        <v>1000</v>
      </c>
      <c r="H71" s="16">
        <v>1000</v>
      </c>
    </row>
    <row r="72" spans="1:8" x14ac:dyDescent="0.2">
      <c r="A72" s="37" t="s">
        <v>84</v>
      </c>
      <c r="B72" s="1" t="str">
        <f>VLOOKUP(A72,'[1]SQL DATA'!$B:$J,3,FALSE)</f>
        <v>GG - Maint. - Office Equip R&amp;M</v>
      </c>
      <c r="C72" s="20">
        <f>VLOOKUP(A72,'[1]SQL DATA'!$B:$K,10,FALSE)</f>
        <v>25220.66</v>
      </c>
      <c r="D72" s="20">
        <f>VLOOKUP(A72,'[1]SQL DATA'!$B:$J,9,FALSE)</f>
        <v>25164.2</v>
      </c>
      <c r="E72" s="15">
        <f>VLOOKUP(A72,'[1]SQL DATA'!$B:$J,7,FALSE)</f>
        <v>23814.67</v>
      </c>
      <c r="F72" s="16">
        <f>VLOOKUP(A72,'[1]SQL DATA'!$B:$J,6,FALSE)</f>
        <v>12936.98</v>
      </c>
      <c r="G72" s="20">
        <v>27000</v>
      </c>
      <c r="H72" s="16">
        <v>27000</v>
      </c>
    </row>
    <row r="73" spans="1:8" x14ac:dyDescent="0.2">
      <c r="A73" s="55" t="s">
        <v>85</v>
      </c>
      <c r="B73" s="55"/>
      <c r="C73" s="47">
        <f>SUM(C62:C72)</f>
        <v>78374.87</v>
      </c>
      <c r="D73" s="47">
        <f>SUM(D62:D72)</f>
        <v>72879.319999999992</v>
      </c>
      <c r="E73" s="47">
        <f>SUM(E62:E72)</f>
        <v>94024.849999999991</v>
      </c>
      <c r="F73" s="48">
        <f>SUM(F62:F72)</f>
        <v>64269.739999999991</v>
      </c>
      <c r="G73" s="47">
        <f t="shared" ref="G73:H73" si="7">SUM(G62:G72)</f>
        <v>98770</v>
      </c>
      <c r="H73" s="48">
        <f t="shared" si="7"/>
        <v>111900</v>
      </c>
    </row>
    <row r="74" spans="1:8" x14ac:dyDescent="0.2">
      <c r="A74" s="37" t="s">
        <v>8</v>
      </c>
      <c r="D74" s="20"/>
      <c r="E74" s="15"/>
      <c r="F74" s="16"/>
      <c r="H74" s="16"/>
    </row>
    <row r="75" spans="1:8" x14ac:dyDescent="0.2">
      <c r="A75" s="58" t="s">
        <v>86</v>
      </c>
      <c r="B75" s="54"/>
      <c r="C75" s="54"/>
      <c r="D75" s="20"/>
      <c r="E75" s="15"/>
      <c r="F75" s="16"/>
      <c r="H75" s="16"/>
    </row>
    <row r="76" spans="1:8" x14ac:dyDescent="0.2">
      <c r="A76" s="37" t="s">
        <v>87</v>
      </c>
      <c r="B76" s="1" t="str">
        <f>VLOOKUP(A76,'[1]SQL DATA'!$B:$J,3,FALSE)</f>
        <v>GG - Grants - Prov - Transit Disabled</v>
      </c>
      <c r="C76" s="20">
        <f>VLOOKUP(A76,'[1]SQL DATA'!$B:$K,10,FALSE)</f>
        <v>1522</v>
      </c>
      <c r="D76" s="20">
        <f>VLOOKUP(A76,'[1]SQL DATA'!$B:$J,9,FALSE)</f>
        <v>1925</v>
      </c>
      <c r="E76" s="15">
        <f>VLOOKUP(A76,'[1]SQL DATA'!$B:$J,7,FALSE)</f>
        <v>1759</v>
      </c>
      <c r="F76" s="16">
        <f>VLOOKUP(A76,'[1]SQL DATA'!$B:$J,6,FALSE)</f>
        <v>2636</v>
      </c>
      <c r="G76" s="20">
        <v>1520</v>
      </c>
      <c r="H76" s="16">
        <f>H30</f>
        <v>1760</v>
      </c>
    </row>
    <row r="77" spans="1:8" x14ac:dyDescent="0.2">
      <c r="A77" s="54" t="s">
        <v>88</v>
      </c>
      <c r="B77" s="9"/>
      <c r="C77" s="47">
        <f>SUM(C76)</f>
        <v>1522</v>
      </c>
      <c r="D77" s="47">
        <f>SUM(D76)</f>
        <v>1925</v>
      </c>
      <c r="E77" s="47">
        <f>SUM(E76)</f>
        <v>1759</v>
      </c>
      <c r="F77" s="48">
        <f>SUM(F76)</f>
        <v>2636</v>
      </c>
      <c r="G77" s="47">
        <f t="shared" ref="G77:H77" si="8">SUM(G76)</f>
        <v>1520</v>
      </c>
      <c r="H77" s="48">
        <f t="shared" si="8"/>
        <v>1760</v>
      </c>
    </row>
    <row r="78" spans="1:8" x14ac:dyDescent="0.2">
      <c r="A78" s="37" t="s">
        <v>8</v>
      </c>
      <c r="D78" s="20"/>
      <c r="E78" s="15"/>
      <c r="F78" s="16"/>
      <c r="G78" s="20"/>
      <c r="H78" s="16"/>
    </row>
    <row r="79" spans="1:8" x14ac:dyDescent="0.2">
      <c r="A79" s="34" t="s">
        <v>89</v>
      </c>
      <c r="B79" s="54"/>
      <c r="C79" s="54"/>
      <c r="D79" s="20"/>
      <c r="E79" s="15"/>
      <c r="F79" s="16"/>
      <c r="G79" s="20"/>
      <c r="H79" s="16"/>
    </row>
    <row r="80" spans="1:8" x14ac:dyDescent="0.2">
      <c r="A80" s="37" t="s">
        <v>90</v>
      </c>
      <c r="B80" s="1" t="str">
        <f>VLOOKUP(A80,'[1]SQL DATA'!$B:$J,3,FALSE)</f>
        <v>GG -  Amortization Expense</v>
      </c>
      <c r="C80" s="20">
        <f>VLOOKUP(A80,'[1]SQL DATA'!$B:$K,10,FALSE)</f>
        <v>3637</v>
      </c>
      <c r="D80" s="20">
        <f>VLOOKUP(A80,'[1]SQL DATA'!$B:$J,9,FALSE)</f>
        <v>22039.57</v>
      </c>
      <c r="E80" s="15">
        <f>VLOOKUP(A80,'[1]SQL DATA'!$B:$J,7,FALSE)</f>
        <v>23892.9</v>
      </c>
      <c r="F80" s="16">
        <f>VLOOKUP(A80,'[1]SQL DATA'!$B:$J,6,FALSE)</f>
        <v>0</v>
      </c>
      <c r="G80" s="20">
        <v>0</v>
      </c>
      <c r="H80" s="16">
        <v>0</v>
      </c>
    </row>
    <row r="81" spans="1:8" x14ac:dyDescent="0.2">
      <c r="A81" s="54" t="s">
        <v>91</v>
      </c>
      <c r="B81" s="9"/>
      <c r="C81" s="47">
        <f>SUM(C80)</f>
        <v>3637</v>
      </c>
      <c r="D81" s="47">
        <f>SUM(D80)</f>
        <v>22039.57</v>
      </c>
      <c r="E81" s="47">
        <f t="shared" ref="E81:H81" si="9">SUM(E80)</f>
        <v>23892.9</v>
      </c>
      <c r="F81" s="48">
        <f t="shared" si="9"/>
        <v>0</v>
      </c>
      <c r="G81" s="47">
        <f t="shared" si="9"/>
        <v>0</v>
      </c>
      <c r="H81" s="48">
        <f t="shared" si="9"/>
        <v>0</v>
      </c>
    </row>
    <row r="82" spans="1:8" x14ac:dyDescent="0.2">
      <c r="A82" s="37" t="s">
        <v>8</v>
      </c>
      <c r="D82" s="20"/>
      <c r="E82" s="15"/>
      <c r="F82" s="16"/>
      <c r="G82" s="20"/>
      <c r="H82" s="16"/>
    </row>
    <row r="83" spans="1:8" x14ac:dyDescent="0.2">
      <c r="A83" s="34" t="s">
        <v>92</v>
      </c>
      <c r="B83" s="37"/>
      <c r="C83" s="37"/>
      <c r="D83" s="20"/>
      <c r="E83" s="15"/>
      <c r="F83" s="16"/>
      <c r="G83" s="20"/>
      <c r="H83" s="16"/>
    </row>
    <row r="84" spans="1:8" x14ac:dyDescent="0.2">
      <c r="A84" s="37" t="s">
        <v>93</v>
      </c>
      <c r="B84" s="1" t="str">
        <f>VLOOKUP(A84,'[1]SQL DATA'!$B:$J,3,FALSE)</f>
        <v>GG - Cont. - Bank Charges &amp; Interest</v>
      </c>
      <c r="C84" s="20">
        <f>VLOOKUP(A84,'[1]SQL DATA'!$B:$K,10,FALSE)</f>
        <v>3271.23</v>
      </c>
      <c r="D84" s="20">
        <f>VLOOKUP(A84,'[1]SQL DATA'!$B:$J,9,FALSE)</f>
        <v>2974.81</v>
      </c>
      <c r="E84" s="15">
        <f>VLOOKUP(A84,'[1]SQL DATA'!$B:$J,7,FALSE)</f>
        <v>2351.77</v>
      </c>
      <c r="F84" s="16">
        <f>VLOOKUP(A84,'[1]SQL DATA'!$B:$J,6,FALSE)</f>
        <v>417.92</v>
      </c>
      <c r="G84" s="20">
        <v>3500</v>
      </c>
      <c r="H84" s="16">
        <v>3000</v>
      </c>
    </row>
    <row r="85" spans="1:8" x14ac:dyDescent="0.2">
      <c r="A85" s="54" t="s">
        <v>94</v>
      </c>
      <c r="B85" s="9"/>
      <c r="C85" s="47">
        <f>SUM(C84)</f>
        <v>3271.23</v>
      </c>
      <c r="D85" s="47">
        <f>SUM(D84)</f>
        <v>2974.81</v>
      </c>
      <c r="E85" s="47">
        <f>SUM(E84)</f>
        <v>2351.77</v>
      </c>
      <c r="F85" s="48">
        <f>SUM(F84)</f>
        <v>417.92</v>
      </c>
      <c r="G85" s="47">
        <f t="shared" ref="G85:H85" si="10">SUM(G84)</f>
        <v>3500</v>
      </c>
      <c r="H85" s="48">
        <f t="shared" si="10"/>
        <v>3000</v>
      </c>
    </row>
    <row r="86" spans="1:8" x14ac:dyDescent="0.2">
      <c r="A86" s="54"/>
      <c r="B86" s="9"/>
      <c r="C86" s="9"/>
      <c r="D86" s="49"/>
      <c r="E86" s="49"/>
      <c r="F86" s="50"/>
      <c r="G86" s="20"/>
      <c r="H86" s="50"/>
    </row>
    <row r="87" spans="1:8" x14ac:dyDescent="0.2">
      <c r="A87" s="34" t="s">
        <v>95</v>
      </c>
      <c r="B87" s="54"/>
      <c r="C87" s="54"/>
      <c r="D87" s="20"/>
      <c r="E87" s="15"/>
      <c r="F87" s="16"/>
      <c r="G87" s="20"/>
      <c r="H87" s="16"/>
    </row>
    <row r="88" spans="1:8" x14ac:dyDescent="0.2">
      <c r="A88" s="37" t="s">
        <v>96</v>
      </c>
      <c r="B88" s="1" t="str">
        <f>VLOOKUP(A88,'[1]SQL DATA'!$B:$J,3,FALSE)</f>
        <v>GG - Travel &amp; Related Expenses</v>
      </c>
      <c r="C88" s="20">
        <f>VLOOKUP(A88,'[1]SQL DATA'!$B:$K,10,FALSE)</f>
        <v>455.6</v>
      </c>
      <c r="D88" s="20">
        <f>VLOOKUP(A88,'[1]SQL DATA'!$B:$J,9,FALSE)</f>
        <v>135</v>
      </c>
      <c r="E88" s="15">
        <f>VLOOKUP(A88,'[1]SQL DATA'!$B:$J,7,FALSE)</f>
        <v>435.38</v>
      </c>
      <c r="F88" s="16">
        <f>VLOOKUP(A88,'[1]SQL DATA'!$B:$J,6,FALSE)</f>
        <v>193</v>
      </c>
      <c r="G88" s="20">
        <v>2000</v>
      </c>
      <c r="H88" s="16">
        <v>2000</v>
      </c>
    </row>
    <row r="89" spans="1:8" x14ac:dyDescent="0.2">
      <c r="A89" s="37" t="s">
        <v>97</v>
      </c>
      <c r="B89" s="1" t="str">
        <f>VLOOKUP(A89,'[1]SQL DATA'!$B:$J,3,FALSE)</f>
        <v>H&amp;W - Housing Authority Deficits</v>
      </c>
      <c r="C89" s="20">
        <f>VLOOKUP(A89,'[1]SQL DATA'!$B:$K,10,FALSE)</f>
        <v>0</v>
      </c>
      <c r="D89" s="20">
        <f>VLOOKUP(A89,'[1]SQL DATA'!$B:$J,9,FALSE)</f>
        <v>2229.62</v>
      </c>
      <c r="E89" s="15">
        <f>VLOOKUP(A89,'[1]SQL DATA'!$B:$J,7,FALSE)</f>
        <v>13201.08</v>
      </c>
      <c r="F89" s="16">
        <f>VLOOKUP(A89,'[1]SQL DATA'!$B:$J,6,FALSE)</f>
        <v>0</v>
      </c>
      <c r="G89" s="20">
        <v>300</v>
      </c>
      <c r="H89" s="16">
        <v>5000</v>
      </c>
    </row>
    <row r="90" spans="1:8" x14ac:dyDescent="0.2">
      <c r="A90" s="54" t="s">
        <v>98</v>
      </c>
      <c r="B90" s="9"/>
      <c r="C90" s="59">
        <f>SUM(C88:C89)</f>
        <v>455.6</v>
      </c>
      <c r="D90" s="59">
        <f>SUM(D88:D89)</f>
        <v>2364.62</v>
      </c>
      <c r="E90" s="47">
        <f>SUM(E88:E89)</f>
        <v>13636.46</v>
      </c>
      <c r="F90" s="48">
        <f>SUM(F88:F89)</f>
        <v>193</v>
      </c>
      <c r="G90" s="59">
        <f t="shared" ref="G90:H90" si="11">SUM(G88:G89)</f>
        <v>2300</v>
      </c>
      <c r="H90" s="48">
        <f t="shared" si="11"/>
        <v>7000</v>
      </c>
    </row>
    <row r="91" spans="1:8" x14ac:dyDescent="0.2">
      <c r="A91" s="37" t="s">
        <v>8</v>
      </c>
      <c r="D91" s="20"/>
      <c r="E91" s="15"/>
      <c r="F91" s="16"/>
      <c r="G91" s="20"/>
      <c r="H91" s="16"/>
    </row>
    <row r="92" spans="1:8" x14ac:dyDescent="0.2">
      <c r="A92" s="42" t="s">
        <v>99</v>
      </c>
      <c r="D92" s="20"/>
      <c r="E92" s="15"/>
      <c r="F92" s="16"/>
      <c r="G92" s="20"/>
      <c r="H92" s="16"/>
    </row>
    <row r="93" spans="1:8" x14ac:dyDescent="0.2">
      <c r="A93" s="37" t="s">
        <v>100</v>
      </c>
      <c r="B93" s="1" t="str">
        <f>VLOOKUP(A93,'[1]SQL DATA'!$B:$J,3,FALSE)</f>
        <v>GG - Purchase of Cap Assets - Land</v>
      </c>
      <c r="C93" s="20">
        <f>VLOOKUP(A93,'[1]SQL DATA'!$B:$K,10,FALSE)</f>
        <v>0</v>
      </c>
      <c r="D93" s="20">
        <f>VLOOKUP(A93,'[1]SQL DATA'!$B:$J,9,FALSE)</f>
        <v>0</v>
      </c>
      <c r="E93" s="15">
        <f>VLOOKUP(A93,'[1]SQL DATA'!$B:$J,7,FALSE)</f>
        <v>0</v>
      </c>
      <c r="F93" s="16">
        <f>VLOOKUP(A93,'[1]SQL DATA'!$B:$J,6,FALSE)</f>
        <v>0</v>
      </c>
      <c r="G93" s="20">
        <v>0</v>
      </c>
      <c r="H93" s="16">
        <v>0</v>
      </c>
    </row>
    <row r="94" spans="1:8" x14ac:dyDescent="0.2">
      <c r="A94" s="37" t="s">
        <v>101</v>
      </c>
      <c r="B94" s="1" t="str">
        <f>VLOOKUP(A94,'[1]SQL DATA'!$B:$J,3,FALSE)</f>
        <v>GG - Purchase of Cap Assets - Building</v>
      </c>
      <c r="C94" s="20">
        <f>VLOOKUP(A94,'[1]SQL DATA'!$B:$K,10,FALSE)</f>
        <v>0</v>
      </c>
      <c r="D94" s="20">
        <f>VLOOKUP(A94,'[1]SQL DATA'!$B:$J,9,FALSE)</f>
        <v>0</v>
      </c>
      <c r="E94" s="15">
        <f>VLOOKUP(A94,'[1]SQL DATA'!$B:$J,7,FALSE)</f>
        <v>0</v>
      </c>
      <c r="F94" s="16">
        <f>VLOOKUP(A94,'[1]SQL DATA'!$B:$J,6,FALSE)</f>
        <v>0</v>
      </c>
      <c r="G94" s="20">
        <v>0</v>
      </c>
      <c r="H94" s="16">
        <v>0</v>
      </c>
    </row>
    <row r="95" spans="1:8" ht="15" x14ac:dyDescent="0.35">
      <c r="A95" s="37" t="s">
        <v>102</v>
      </c>
      <c r="B95" s="1" t="str">
        <f>VLOOKUP(A95,'[1]SQL DATA'!$B:$J,3,FALSE)</f>
        <v>GG - Purchase of Cap Assets - Equipment</v>
      </c>
      <c r="C95" s="60">
        <f>VLOOKUP(A95,'[1]SQL DATA'!$B:$K,10,FALSE)</f>
        <v>0</v>
      </c>
      <c r="D95" s="60">
        <f>VLOOKUP(A95,'[1]SQL DATA'!$B:$J,9,FALSE)</f>
        <v>0</v>
      </c>
      <c r="E95" s="61">
        <f>VLOOKUP(A95,'[1]SQL DATA'!$B:$J,7,FALSE)</f>
        <v>0</v>
      </c>
      <c r="F95" s="62">
        <f>VLOOKUP(A95,'[1]SQL DATA'!$B:$J,6,FALSE)</f>
        <v>0</v>
      </c>
      <c r="G95" s="60">
        <v>0</v>
      </c>
      <c r="H95" s="62">
        <v>0</v>
      </c>
    </row>
    <row r="96" spans="1:8" x14ac:dyDescent="0.2">
      <c r="A96" s="55" t="s">
        <v>103</v>
      </c>
      <c r="C96" s="20">
        <f>SUM(C93:C95)</f>
        <v>0</v>
      </c>
      <c r="D96" s="20">
        <f t="shared" ref="D96:H96" si="12">SUM(D93:D95)</f>
        <v>0</v>
      </c>
      <c r="E96" s="15">
        <f t="shared" si="12"/>
        <v>0</v>
      </c>
      <c r="F96" s="16">
        <f t="shared" si="12"/>
        <v>0</v>
      </c>
      <c r="G96" s="20">
        <f t="shared" si="12"/>
        <v>0</v>
      </c>
      <c r="H96" s="16">
        <f t="shared" si="12"/>
        <v>0</v>
      </c>
    </row>
    <row r="97" spans="1:9" x14ac:dyDescent="0.2">
      <c r="C97" s="20"/>
      <c r="D97" s="20"/>
      <c r="E97" s="15"/>
      <c r="F97" s="16"/>
      <c r="G97" s="20"/>
      <c r="H97" s="16"/>
    </row>
    <row r="98" spans="1:9" x14ac:dyDescent="0.2">
      <c r="A98" s="42" t="s">
        <v>104</v>
      </c>
      <c r="C98" s="20"/>
      <c r="D98" s="20"/>
      <c r="E98" s="15"/>
      <c r="F98" s="16"/>
      <c r="G98" s="20"/>
      <c r="H98" s="16"/>
    </row>
    <row r="99" spans="1:9" x14ac:dyDescent="0.2">
      <c r="A99" s="63" t="s">
        <v>105</v>
      </c>
      <c r="B99" s="64" t="str">
        <f>VLOOKUP(A99,'[1]SQL DATA'!$B:$J,3,FALSE)</f>
        <v>Transfer to Reserves - GG</v>
      </c>
      <c r="C99" s="65">
        <f>VLOOKUP(A99,'[1]SQL DATA'!$B:$K,10,FALSE)</f>
        <v>1458.8</v>
      </c>
      <c r="D99" s="65">
        <f>VLOOKUP(A99,'[1]SQL DATA'!$B:$J,9,FALSE)</f>
        <v>35178.370000000003</v>
      </c>
      <c r="E99" s="65">
        <f>VLOOKUP(A99,'[1]SQL DATA'!$B:$J,7,FALSE)</f>
        <v>344.7</v>
      </c>
      <c r="F99" s="65">
        <f>VLOOKUP(A99,'[1]SQL DATA'!$B:$J,6,FALSE)</f>
        <v>0</v>
      </c>
      <c r="G99" s="65">
        <v>0</v>
      </c>
      <c r="H99" s="65"/>
    </row>
    <row r="100" spans="1:9" x14ac:dyDescent="0.2">
      <c r="A100" s="54"/>
      <c r="B100" s="54"/>
      <c r="C100" s="54"/>
      <c r="D100" s="23"/>
      <c r="E100" s="15"/>
      <c r="F100" s="16"/>
      <c r="G100" s="20"/>
      <c r="H100" s="16"/>
    </row>
    <row r="101" spans="1:9" x14ac:dyDescent="0.2">
      <c r="A101" s="34" t="s">
        <v>21</v>
      </c>
      <c r="B101" s="51"/>
      <c r="C101" s="30">
        <f>C43+C52+C59+C73+C77+C81+C85+C90+C96+C99</f>
        <v>370309.95999999996</v>
      </c>
      <c r="D101" s="30">
        <f>D43+D52+D59+D73+D77+D81+D85+D90+D95+D99</f>
        <v>420073.45999999996</v>
      </c>
      <c r="E101" s="18">
        <f>E43+E52+E59+E73+E77+E81+E85+E90+E95+E99</f>
        <v>442917.21000000008</v>
      </c>
      <c r="F101" s="19">
        <f>F43+F52+F59+F73+F77+F81+F85+F90+F95+F99</f>
        <v>325856.59999999998</v>
      </c>
      <c r="G101" s="18">
        <f>G43+G52+G59+G73+G77+G81+G85+G90+G95+G99</f>
        <v>440220</v>
      </c>
      <c r="H101" s="19">
        <f>H43+H52+H59+H73+H77+H81+H85+H90+H95+H99</f>
        <v>533479.94439999992</v>
      </c>
    </row>
    <row r="102" spans="1:9" x14ac:dyDescent="0.2">
      <c r="A102" s="34"/>
      <c r="B102" s="51"/>
      <c r="C102" s="51"/>
      <c r="D102" s="66"/>
      <c r="E102" s="67"/>
      <c r="F102" s="68"/>
      <c r="G102" s="20"/>
      <c r="H102" s="68"/>
    </row>
    <row r="103" spans="1:9" ht="13.5" thickBot="1" x14ac:dyDescent="0.25">
      <c r="A103" s="34" t="s">
        <v>22</v>
      </c>
      <c r="B103" s="51"/>
      <c r="C103" s="69">
        <f t="shared" ref="C103:H103" si="13">(C33)-C101</f>
        <v>1737621.8600000003</v>
      </c>
      <c r="D103" s="69">
        <f t="shared" si="13"/>
        <v>1749127.4500000002</v>
      </c>
      <c r="E103" s="69">
        <f t="shared" si="13"/>
        <v>1681912.9100000001</v>
      </c>
      <c r="F103" s="70">
        <f t="shared" si="13"/>
        <v>1372816.92</v>
      </c>
      <c r="G103" s="69">
        <f t="shared" si="13"/>
        <v>1638310</v>
      </c>
      <c r="H103" s="70">
        <f t="shared" si="13"/>
        <v>1616780.0556000001</v>
      </c>
      <c r="I103" s="14"/>
    </row>
    <row r="104" spans="1:9" ht="13.5" thickTop="1" x14ac:dyDescent="0.2"/>
    <row r="105" spans="1:9" x14ac:dyDescent="0.2">
      <c r="C105" s="1" t="s">
        <v>106</v>
      </c>
      <c r="D105" s="14"/>
    </row>
    <row r="106" spans="1:9" x14ac:dyDescent="0.2">
      <c r="C106" s="1" t="s">
        <v>107</v>
      </c>
    </row>
  </sheetData>
  <pageMargins left="0.47244094488188981" right="0.47244094488188981" top="0.62992125984251968" bottom="0.43307086614173229" header="3.937007874015748E-2" footer="3.937007874015748E-2"/>
  <pageSetup pageOrder="overThenDown" orientation="portrait" r:id="rId1"/>
  <headerFooter>
    <oddHeader xml:space="preserve">&amp;C&amp;"Calibri,Bold"&amp;10TOWN OF SHELLBROOK&amp;"Calibri,Regular"
GG - Administration
</oddHeader>
    <oddFooter xml:space="preserve">&amp;L&amp;P of &amp;N 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FFCE4-7ADC-4072-BBA2-CA09B9CD750D}">
  <dimension ref="A1:H37"/>
  <sheetViews>
    <sheetView showWhiteSpace="0" topLeftCell="A4" zoomScale="150" zoomScaleNormal="150" zoomScalePageLayoutView="90" workbookViewId="0">
      <selection activeCell="G9" sqref="G9"/>
    </sheetView>
  </sheetViews>
  <sheetFormatPr defaultColWidth="8.85546875" defaultRowHeight="12.75" x14ac:dyDescent="0.2"/>
  <cols>
    <col min="1" max="1" width="13.140625" style="1" customWidth="1"/>
    <col min="2" max="2" width="24.7109375" style="1" customWidth="1"/>
    <col min="3" max="8" width="8.140625" style="1" bestFit="1" customWidth="1"/>
    <col min="9" max="16384" width="8.85546875" style="1"/>
  </cols>
  <sheetData>
    <row r="1" spans="1:8" x14ac:dyDescent="0.2">
      <c r="B1" s="71"/>
      <c r="C1" s="2">
        <f>+[1]Master!C3</f>
        <v>2019</v>
      </c>
      <c r="D1" s="2">
        <f>+[1]Master!D3</f>
        <v>2020</v>
      </c>
      <c r="E1" s="2">
        <f>+[1]Master!E3</f>
        <v>2021</v>
      </c>
      <c r="F1" s="3">
        <f>+[1]Master!F3</f>
        <v>2022</v>
      </c>
      <c r="G1" s="2">
        <f>+[1]Master!G3</f>
        <v>2021</v>
      </c>
      <c r="H1" s="3">
        <f>+[1]Master!H3</f>
        <v>2022</v>
      </c>
    </row>
    <row r="2" spans="1:8" x14ac:dyDescent="0.2">
      <c r="B2" s="2"/>
      <c r="C2" s="4" t="str">
        <f>+[1]Master!C4</f>
        <v>YTD</v>
      </c>
      <c r="D2" s="4" t="str">
        <f>+[1]Master!D4</f>
        <v>YTD</v>
      </c>
      <c r="E2" s="4" t="str">
        <f>+[1]Master!E4</f>
        <v>YTD</v>
      </c>
      <c r="F2" s="36" t="str">
        <f>+[1]Master!F4</f>
        <v>YTD</v>
      </c>
      <c r="G2" s="4" t="str">
        <f>+[1]Master!G4</f>
        <v>Budget</v>
      </c>
      <c r="H2" s="36" t="str">
        <f>+[1]Master!H4</f>
        <v>Budget</v>
      </c>
    </row>
    <row r="3" spans="1:8" x14ac:dyDescent="0.2">
      <c r="A3" s="7" t="s">
        <v>2</v>
      </c>
      <c r="F3" s="8"/>
      <c r="H3" s="8"/>
    </row>
    <row r="4" spans="1:8" x14ac:dyDescent="0.2">
      <c r="C4" s="20">
        <v>0</v>
      </c>
      <c r="D4" s="20">
        <v>0</v>
      </c>
      <c r="E4" s="15">
        <v>0</v>
      </c>
      <c r="F4" s="16">
        <v>0</v>
      </c>
      <c r="G4" s="20">
        <v>0</v>
      </c>
      <c r="H4" s="16">
        <v>0</v>
      </c>
    </row>
    <row r="5" spans="1:8" x14ac:dyDescent="0.2">
      <c r="A5" s="51" t="s">
        <v>7</v>
      </c>
      <c r="B5" s="72"/>
      <c r="C5" s="30">
        <f t="shared" ref="C5:H5" si="0">SUM(C4)</f>
        <v>0</v>
      </c>
      <c r="D5" s="30">
        <f t="shared" si="0"/>
        <v>0</v>
      </c>
      <c r="E5" s="18">
        <f t="shared" si="0"/>
        <v>0</v>
      </c>
      <c r="F5" s="19">
        <f t="shared" si="0"/>
        <v>0</v>
      </c>
      <c r="G5" s="30">
        <f t="shared" si="0"/>
        <v>0</v>
      </c>
      <c r="H5" s="19">
        <f t="shared" si="0"/>
        <v>0</v>
      </c>
    </row>
    <row r="6" spans="1:8" x14ac:dyDescent="0.2">
      <c r="A6" s="1" t="s">
        <v>8</v>
      </c>
      <c r="D6" s="73"/>
      <c r="E6" s="15"/>
      <c r="F6" s="16"/>
      <c r="G6" s="20"/>
      <c r="H6" s="16"/>
    </row>
    <row r="7" spans="1:8" x14ac:dyDescent="0.2">
      <c r="A7" s="7" t="s">
        <v>9</v>
      </c>
      <c r="D7" s="73"/>
      <c r="E7" s="15"/>
      <c r="F7" s="16"/>
      <c r="G7" s="20"/>
      <c r="H7" s="16"/>
    </row>
    <row r="8" spans="1:8" x14ac:dyDescent="0.2">
      <c r="A8" s="1" t="s">
        <v>8</v>
      </c>
      <c r="D8" s="73"/>
      <c r="E8" s="15"/>
      <c r="F8" s="16"/>
      <c r="G8" s="20"/>
      <c r="H8" s="16"/>
    </row>
    <row r="9" spans="1:8" x14ac:dyDescent="0.2">
      <c r="A9" s="74" t="s">
        <v>51</v>
      </c>
      <c r="B9" s="74"/>
      <c r="C9" s="34"/>
      <c r="D9" s="75"/>
      <c r="E9" s="15"/>
      <c r="F9" s="16"/>
      <c r="G9" s="20"/>
      <c r="H9" s="16"/>
    </row>
    <row r="10" spans="1:8" x14ac:dyDescent="0.2">
      <c r="A10" s="45" t="s">
        <v>108</v>
      </c>
      <c r="B10" s="1" t="str">
        <f>VLOOKUP(A10,'[1]SQL DATA'!$B:$J,3,FALSE)</f>
        <v>GG - Council - Indemnity</v>
      </c>
      <c r="C10" s="20">
        <f>VLOOKUP(A10,'[1]SQL DATA'!$B:$K,10,FALSE)</f>
        <v>32310</v>
      </c>
      <c r="D10" s="20">
        <f>VLOOKUP(A10,'[1]SQL DATA'!$B:$J,9,FALSE)</f>
        <v>25248.92</v>
      </c>
      <c r="E10" s="15">
        <f>VLOOKUP(A10,'[1]SQL DATA'!$B:$J,7,FALSE)</f>
        <v>44564</v>
      </c>
      <c r="F10" s="16">
        <f>VLOOKUP(A10,'[1]SQL DATA'!$B:$J,6,FALSE)</f>
        <v>17220</v>
      </c>
      <c r="G10" s="20">
        <v>38000</v>
      </c>
      <c r="H10" s="16">
        <v>44600</v>
      </c>
    </row>
    <row r="11" spans="1:8" x14ac:dyDescent="0.2">
      <c r="A11" s="45" t="s">
        <v>109</v>
      </c>
      <c r="B11" s="1" t="str">
        <f>VLOOKUP(A11,'[1]SQL DATA'!$B:$J,3,FALSE)</f>
        <v>GG - Council - Benefits - CPP</v>
      </c>
      <c r="C11" s="20">
        <f>VLOOKUP(A11,'[1]SQL DATA'!$B:$K,10,FALSE)</f>
        <v>504.24</v>
      </c>
      <c r="D11" s="20">
        <f>VLOOKUP(A11,'[1]SQL DATA'!$B:$J,9,FALSE)</f>
        <v>397.11</v>
      </c>
      <c r="E11" s="15">
        <f>VLOOKUP(A11,'[1]SQL DATA'!$B:$J,7,FALSE)</f>
        <v>839.63</v>
      </c>
      <c r="F11" s="16">
        <f>VLOOKUP(A11,'[1]SQL DATA'!$B:$J,6,FALSE)</f>
        <v>415.83</v>
      </c>
      <c r="G11" s="20">
        <v>810</v>
      </c>
      <c r="H11" s="16">
        <v>800</v>
      </c>
    </row>
    <row r="12" spans="1:8" x14ac:dyDescent="0.2">
      <c r="A12" s="45" t="s">
        <v>110</v>
      </c>
      <c r="B12" s="1" t="str">
        <f>VLOOKUP(A12,'[1]SQL DATA'!$B:$J,3,FALSE)</f>
        <v>GG - Council - Benefits - Group</v>
      </c>
      <c r="C12" s="20">
        <f>VLOOKUP(A12,'[1]SQL DATA'!$B:$K,10,FALSE)</f>
        <v>3193.87</v>
      </c>
      <c r="D12" s="20">
        <f>VLOOKUP(A12,'[1]SQL DATA'!$B:$J,9,FALSE)</f>
        <v>4226.55</v>
      </c>
      <c r="E12" s="15">
        <f>VLOOKUP(A12,'[1]SQL DATA'!$B:$J,7,FALSE)</f>
        <v>4682.9399999999996</v>
      </c>
      <c r="F12" s="16">
        <f>VLOOKUP(A12,'[1]SQL DATA'!$B:$J,6,FALSE)</f>
        <v>3092.94</v>
      </c>
      <c r="G12" s="20">
        <v>8400</v>
      </c>
      <c r="H12" s="16">
        <v>8400</v>
      </c>
    </row>
    <row r="13" spans="1:8" x14ac:dyDescent="0.2">
      <c r="A13" s="9" t="s">
        <v>58</v>
      </c>
      <c r="B13" s="76"/>
      <c r="C13" s="59">
        <f t="shared" ref="C13:H13" si="1">SUM(C10:C12)</f>
        <v>36008.11</v>
      </c>
      <c r="D13" s="59">
        <f t="shared" si="1"/>
        <v>29872.579999999998</v>
      </c>
      <c r="E13" s="47">
        <f t="shared" si="1"/>
        <v>50086.57</v>
      </c>
      <c r="F13" s="48">
        <f t="shared" si="1"/>
        <v>20728.77</v>
      </c>
      <c r="G13" s="59">
        <f t="shared" si="1"/>
        <v>47210</v>
      </c>
      <c r="H13" s="48">
        <f t="shared" si="1"/>
        <v>53800</v>
      </c>
    </row>
    <row r="14" spans="1:8" x14ac:dyDescent="0.2">
      <c r="A14" s="1" t="s">
        <v>8</v>
      </c>
      <c r="B14" s="77"/>
      <c r="C14" s="77"/>
      <c r="D14" s="73"/>
      <c r="E14" s="15"/>
      <c r="F14" s="16"/>
      <c r="G14" s="20"/>
      <c r="H14" s="16"/>
    </row>
    <row r="15" spans="1:8" x14ac:dyDescent="0.2">
      <c r="A15" s="58" t="s">
        <v>111</v>
      </c>
      <c r="B15" s="78"/>
      <c r="C15" s="78"/>
      <c r="D15" s="79"/>
      <c r="E15" s="15"/>
      <c r="F15" s="16"/>
      <c r="G15" s="20"/>
      <c r="H15" s="16"/>
    </row>
    <row r="16" spans="1:8" x14ac:dyDescent="0.2">
      <c r="A16" s="45" t="s">
        <v>112</v>
      </c>
      <c r="B16" s="1" t="str">
        <f>VLOOKUP(A16,'[1]SQL DATA'!$B:$J,3,FALSE)</f>
        <v>GG - Council Discretionary Fund</v>
      </c>
      <c r="C16" s="20">
        <f>VLOOKUP(A16,'[1]SQL DATA'!$B:$K,10,FALSE)</f>
        <v>6961.57</v>
      </c>
      <c r="D16" s="20">
        <f>VLOOKUP(A16,'[1]SQL DATA'!$B:$J,9,FALSE)</f>
        <v>3227.27</v>
      </c>
      <c r="E16" s="15">
        <f>VLOOKUP(A16,'[1]SQL DATA'!$B:$J,7,FALSE)</f>
        <v>6732.33</v>
      </c>
      <c r="F16" s="16">
        <f>VLOOKUP(A16,'[1]SQL DATA'!$B:$J,6,FALSE)</f>
        <v>975.96</v>
      </c>
      <c r="G16" s="20">
        <v>7500</v>
      </c>
      <c r="H16" s="16">
        <v>7500</v>
      </c>
    </row>
    <row r="17" spans="1:8" x14ac:dyDescent="0.2">
      <c r="A17" s="9" t="s">
        <v>85</v>
      </c>
      <c r="B17" s="76"/>
      <c r="C17" s="59">
        <f t="shared" ref="C17:H17" si="2">SUM(C16:C16)</f>
        <v>6961.57</v>
      </c>
      <c r="D17" s="59">
        <f t="shared" si="2"/>
        <v>3227.27</v>
      </c>
      <c r="E17" s="47">
        <f t="shared" si="2"/>
        <v>6732.33</v>
      </c>
      <c r="F17" s="48">
        <f t="shared" si="2"/>
        <v>975.96</v>
      </c>
      <c r="G17" s="59">
        <f t="shared" si="2"/>
        <v>7500</v>
      </c>
      <c r="H17" s="48">
        <f t="shared" si="2"/>
        <v>7500</v>
      </c>
    </row>
    <row r="18" spans="1:8" x14ac:dyDescent="0.2">
      <c r="A18" s="9"/>
      <c r="B18" s="76"/>
      <c r="C18" s="76"/>
      <c r="D18" s="73"/>
      <c r="E18" s="49"/>
      <c r="F18" s="50"/>
      <c r="G18" s="73"/>
      <c r="H18" s="50"/>
    </row>
    <row r="19" spans="1:8" x14ac:dyDescent="0.2">
      <c r="A19" s="45"/>
      <c r="B19" s="80" t="s">
        <v>113</v>
      </c>
      <c r="C19" s="20">
        <v>0</v>
      </c>
      <c r="D19" s="73">
        <v>0</v>
      </c>
      <c r="E19" s="49">
        <v>0</v>
      </c>
      <c r="F19" s="50">
        <v>0</v>
      </c>
      <c r="G19" s="20">
        <v>0</v>
      </c>
      <c r="H19" s="50">
        <v>0</v>
      </c>
    </row>
    <row r="20" spans="1:8" x14ac:dyDescent="0.2">
      <c r="A20" s="1" t="s">
        <v>8</v>
      </c>
      <c r="B20" s="80"/>
      <c r="C20" s="80"/>
      <c r="D20" s="73"/>
      <c r="E20" s="15"/>
      <c r="F20" s="16"/>
      <c r="G20" s="20"/>
      <c r="H20" s="16"/>
    </row>
    <row r="21" spans="1:8" x14ac:dyDescent="0.2">
      <c r="A21" s="58" t="s">
        <v>95</v>
      </c>
      <c r="B21" s="80"/>
      <c r="C21" s="80"/>
      <c r="D21" s="73"/>
      <c r="E21" s="15"/>
      <c r="F21" s="16"/>
      <c r="G21" s="20"/>
      <c r="H21" s="16"/>
    </row>
    <row r="22" spans="1:8" x14ac:dyDescent="0.2">
      <c r="A22" s="45" t="s">
        <v>114</v>
      </c>
      <c r="B22" s="1" t="str">
        <f>VLOOKUP(A22,'[1]SQL DATA'!$B:$J,3,FALSE)</f>
        <v>GG - Council Travel &amp; Meals</v>
      </c>
      <c r="C22" s="20">
        <f>VLOOKUP(A22,'[1]SQL DATA'!$B:$K,10,FALSE)</f>
        <v>1330</v>
      </c>
      <c r="D22" s="20">
        <f>VLOOKUP(A22,'[1]SQL DATA'!$B:$J,9,FALSE)</f>
        <v>2025</v>
      </c>
      <c r="E22" s="15">
        <f>VLOOKUP(A22,'[1]SQL DATA'!$B:$J,7,FALSE)</f>
        <v>1699.5</v>
      </c>
      <c r="F22" s="16">
        <f>VLOOKUP(A22,'[1]SQL DATA'!$B:$J,6,FALSE)</f>
        <v>1225</v>
      </c>
      <c r="G22" s="20">
        <v>5000</v>
      </c>
      <c r="H22" s="16">
        <v>5000</v>
      </c>
    </row>
    <row r="23" spans="1:8" x14ac:dyDescent="0.2">
      <c r="A23" s="45" t="s">
        <v>115</v>
      </c>
      <c r="B23" s="1" t="str">
        <f>VLOOKUP(A23,'[1]SQL DATA'!$B:$J,3,FALSE)</f>
        <v>GG - Council - Conferences/Travel/Meals</v>
      </c>
      <c r="C23" s="20">
        <f>VLOOKUP(A23,'[1]SQL DATA'!$B:$K,10,FALSE)</f>
        <v>0</v>
      </c>
      <c r="D23" s="20">
        <f>VLOOKUP(A23,'[1]SQL DATA'!$B:$J,9,FALSE)</f>
        <v>869.5</v>
      </c>
      <c r="E23" s="15">
        <f>VLOOKUP(A23,'[1]SQL DATA'!$B:$J,7,FALSE)</f>
        <v>160</v>
      </c>
      <c r="F23" s="16">
        <f>VLOOKUP(A23,'[1]SQL DATA'!$B:$J,6,FALSE)</f>
        <v>1927.08</v>
      </c>
      <c r="G23" s="20">
        <v>3000</v>
      </c>
      <c r="H23" s="16">
        <v>3000</v>
      </c>
    </row>
    <row r="24" spans="1:8" x14ac:dyDescent="0.2">
      <c r="A24" s="45" t="s">
        <v>116</v>
      </c>
      <c r="B24" s="1" t="str">
        <f>VLOOKUP(A24,'[1]SQL DATA'!$B:$J,3,FALSE)</f>
        <v>GG - Council - Convention/Travel/Meals</v>
      </c>
      <c r="C24" s="20">
        <f>VLOOKUP(A24,'[1]SQL DATA'!$B:$K,10,FALSE)</f>
        <v>5604.02</v>
      </c>
      <c r="D24" s="20">
        <f>VLOOKUP(A24,'[1]SQL DATA'!$B:$J,9,FALSE)</f>
        <v>1935</v>
      </c>
      <c r="E24" s="15">
        <f>VLOOKUP(A24,'[1]SQL DATA'!$B:$J,7,FALSE)</f>
        <v>0</v>
      </c>
      <c r="F24" s="16">
        <f>VLOOKUP(A24,'[1]SQL DATA'!$B:$J,6,FALSE)</f>
        <v>3102.73</v>
      </c>
      <c r="G24" s="20">
        <v>4500</v>
      </c>
      <c r="H24" s="16">
        <v>4500</v>
      </c>
    </row>
    <row r="25" spans="1:8" x14ac:dyDescent="0.2">
      <c r="A25" s="9" t="s">
        <v>98</v>
      </c>
      <c r="B25" s="81"/>
      <c r="C25" s="59">
        <f>SUM(C22:C24)</f>
        <v>6934.02</v>
      </c>
      <c r="D25" s="59">
        <f>SUM(D22:D24)</f>
        <v>4829.5</v>
      </c>
      <c r="E25" s="47">
        <f>SUM(E22:E24)</f>
        <v>1859.5</v>
      </c>
      <c r="F25" s="48">
        <f>SUM(F22:F24)</f>
        <v>6254.8099999999995</v>
      </c>
      <c r="G25" s="59">
        <f>SUM(G22:G24)</f>
        <v>12500</v>
      </c>
      <c r="H25" s="48">
        <f>SUM(H19:H24)</f>
        <v>12500</v>
      </c>
    </row>
    <row r="26" spans="1:8" x14ac:dyDescent="0.2">
      <c r="A26" s="9"/>
      <c r="B26" s="82"/>
      <c r="C26" s="82"/>
      <c r="D26" s="73"/>
      <c r="E26" s="15"/>
      <c r="F26" s="16"/>
      <c r="G26" s="20"/>
      <c r="H26" s="16"/>
    </row>
    <row r="27" spans="1:8" x14ac:dyDescent="0.2">
      <c r="A27" s="34" t="s">
        <v>21</v>
      </c>
      <c r="B27" s="72"/>
      <c r="C27" s="30">
        <f t="shared" ref="C27:H27" si="3">C13+C17+C19+C25</f>
        <v>49903.7</v>
      </c>
      <c r="D27" s="30">
        <f t="shared" si="3"/>
        <v>37929.35</v>
      </c>
      <c r="E27" s="18">
        <f t="shared" si="3"/>
        <v>58678.400000000001</v>
      </c>
      <c r="F27" s="19">
        <f t="shared" si="3"/>
        <v>27959.54</v>
      </c>
      <c r="G27" s="30">
        <f t="shared" si="3"/>
        <v>67210</v>
      </c>
      <c r="H27" s="19">
        <f t="shared" si="3"/>
        <v>73800</v>
      </c>
    </row>
    <row r="28" spans="1:8" x14ac:dyDescent="0.2">
      <c r="A28" s="1" t="s">
        <v>8</v>
      </c>
      <c r="D28" s="73"/>
      <c r="E28" s="15"/>
      <c r="F28" s="16"/>
      <c r="G28" s="20"/>
      <c r="H28" s="16"/>
    </row>
    <row r="29" spans="1:8" ht="13.5" thickBot="1" x14ac:dyDescent="0.25">
      <c r="A29" s="74" t="s">
        <v>22</v>
      </c>
      <c r="B29" s="74"/>
      <c r="C29" s="69">
        <f>(C5)-C27</f>
        <v>-49903.7</v>
      </c>
      <c r="D29" s="69">
        <f>(D5)-D27</f>
        <v>-37929.35</v>
      </c>
      <c r="E29" s="69">
        <f t="shared" ref="E29:H29" si="4">(E5)-E27</f>
        <v>-58678.400000000001</v>
      </c>
      <c r="F29" s="70">
        <f t="shared" si="4"/>
        <v>-27959.54</v>
      </c>
      <c r="G29" s="69">
        <f t="shared" si="4"/>
        <v>-67210</v>
      </c>
      <c r="H29" s="70">
        <f t="shared" si="4"/>
        <v>-73800</v>
      </c>
    </row>
    <row r="30" spans="1:8" ht="13.5" thickTop="1" x14ac:dyDescent="0.2">
      <c r="A30" s="1" t="s">
        <v>8</v>
      </c>
    </row>
    <row r="31" spans="1:8" x14ac:dyDescent="0.2">
      <c r="A31" s="1" t="s">
        <v>8</v>
      </c>
    </row>
    <row r="32" spans="1:8" x14ac:dyDescent="0.2">
      <c r="A32" s="1" t="s">
        <v>8</v>
      </c>
    </row>
    <row r="33" spans="1:6" x14ac:dyDescent="0.2">
      <c r="A33" s="1" t="s">
        <v>8</v>
      </c>
    </row>
    <row r="34" spans="1:6" x14ac:dyDescent="0.2">
      <c r="A34" s="1" t="s">
        <v>8</v>
      </c>
    </row>
    <row r="35" spans="1:6" x14ac:dyDescent="0.2">
      <c r="A35" s="1" t="s">
        <v>8</v>
      </c>
      <c r="D35" s="20"/>
      <c r="E35" s="15"/>
      <c r="F35" s="20"/>
    </row>
    <row r="36" spans="1:6" x14ac:dyDescent="0.2">
      <c r="A36" s="1" t="s">
        <v>8</v>
      </c>
    </row>
    <row r="37" spans="1:6" x14ac:dyDescent="0.2">
      <c r="A37" s="1" t="s">
        <v>8</v>
      </c>
    </row>
  </sheetData>
  <mergeCells count="2">
    <mergeCell ref="A9:B9"/>
    <mergeCell ref="A29:B29"/>
  </mergeCells>
  <pageMargins left="0.74803149606299213" right="0.74803149606299213" top="0.65972222222222221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Council
</oddHeader>
    <oddFooter>&amp;L&amp;P of &amp;N &amp;C&amp;R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5B307-6D73-436A-B5C1-A2FC26F67B2E}">
  <dimension ref="A1:L55"/>
  <sheetViews>
    <sheetView topLeftCell="A34" zoomScale="150" zoomScaleNormal="150" zoomScalePageLayoutView="90" workbookViewId="0">
      <selection activeCell="G9" sqref="G9"/>
    </sheetView>
  </sheetViews>
  <sheetFormatPr defaultColWidth="8.85546875" defaultRowHeight="12.75" x14ac:dyDescent="0.2"/>
  <cols>
    <col min="1" max="1" width="12.42578125" style="1" customWidth="1"/>
    <col min="2" max="2" width="27.28515625" style="1" customWidth="1"/>
    <col min="3" max="5" width="7.5703125" style="1" bestFit="1" customWidth="1"/>
    <col min="6" max="6" width="7.140625" style="1" bestFit="1" customWidth="1"/>
    <col min="7" max="8" width="8.140625" style="1" bestFit="1" customWidth="1"/>
    <col min="9" max="16384" width="8.85546875" style="1"/>
  </cols>
  <sheetData>
    <row r="1" spans="1:8" x14ac:dyDescent="0.2">
      <c r="B1" s="71"/>
      <c r="C1" s="2">
        <v>2019</v>
      </c>
      <c r="D1" s="2">
        <v>2020</v>
      </c>
      <c r="E1" s="2">
        <v>2021</v>
      </c>
      <c r="F1" s="3">
        <v>2022</v>
      </c>
      <c r="G1" s="2">
        <v>2021</v>
      </c>
      <c r="H1" s="3">
        <v>2022</v>
      </c>
    </row>
    <row r="2" spans="1:8" x14ac:dyDescent="0.2">
      <c r="B2" s="2"/>
      <c r="C2" s="4" t="s">
        <v>0</v>
      </c>
      <c r="D2" s="5" t="s">
        <v>0</v>
      </c>
      <c r="E2" s="5" t="s">
        <v>0</v>
      </c>
      <c r="F2" s="6" t="s">
        <v>0</v>
      </c>
      <c r="G2" s="5" t="s">
        <v>1</v>
      </c>
      <c r="H2" s="6" t="s">
        <v>1</v>
      </c>
    </row>
    <row r="3" spans="1:8" x14ac:dyDescent="0.2">
      <c r="A3" s="7" t="s">
        <v>2</v>
      </c>
      <c r="F3" s="8"/>
      <c r="H3" s="8"/>
    </row>
    <row r="4" spans="1:8" x14ac:dyDescent="0.2">
      <c r="A4" s="37" t="s">
        <v>104</v>
      </c>
      <c r="D4" s="73"/>
      <c r="E4" s="49"/>
      <c r="F4" s="50"/>
      <c r="G4" s="73"/>
      <c r="H4" s="50"/>
    </row>
    <row r="5" spans="1:8" x14ac:dyDescent="0.2">
      <c r="A5" s="1" t="s">
        <v>117</v>
      </c>
      <c r="B5" s="1" t="str">
        <f>VLOOKUP(A5,'[1]SQL DATA'!$B:$J,3,FALSE)</f>
        <v>Transfer from Reserves - Fire</v>
      </c>
      <c r="C5" s="83">
        <f>VLOOKUP(A5,'[1]SQL DATA'!$B:$K,10,FALSE)</f>
        <v>0</v>
      </c>
      <c r="D5" s="83">
        <f>VLOOKUP(A5,'[1]SQL DATA'!$B:$J,9,FALSE)</f>
        <v>0</v>
      </c>
      <c r="E5" s="84">
        <f>VLOOKUP(A5,'[1]SQL DATA'!$B:$J,7,FALSE)</f>
        <v>20212.5</v>
      </c>
      <c r="F5" s="85">
        <f>VLOOKUP(A5,'[1]SQL DATA'!$B:$J,6,FALSE)</f>
        <v>0</v>
      </c>
      <c r="G5" s="83">
        <v>0</v>
      </c>
      <c r="H5" s="85">
        <v>0</v>
      </c>
    </row>
    <row r="6" spans="1:8" x14ac:dyDescent="0.2">
      <c r="A6" s="37" t="s">
        <v>27</v>
      </c>
      <c r="C6" s="73">
        <f t="shared" ref="C6:H6" si="0">+C5</f>
        <v>0</v>
      </c>
      <c r="D6" s="73">
        <f t="shared" si="0"/>
        <v>0</v>
      </c>
      <c r="E6" s="49">
        <f t="shared" si="0"/>
        <v>20212.5</v>
      </c>
      <c r="F6" s="50">
        <f t="shared" si="0"/>
        <v>0</v>
      </c>
      <c r="G6" s="73">
        <f t="shared" si="0"/>
        <v>0</v>
      </c>
      <c r="H6" s="50">
        <f t="shared" si="0"/>
        <v>0</v>
      </c>
    </row>
    <row r="7" spans="1:8" x14ac:dyDescent="0.2">
      <c r="A7" s="1" t="s">
        <v>8</v>
      </c>
      <c r="D7" s="73"/>
      <c r="E7" s="49"/>
      <c r="F7" s="50"/>
      <c r="G7" s="73"/>
      <c r="H7" s="50"/>
    </row>
    <row r="8" spans="1:8" x14ac:dyDescent="0.2">
      <c r="A8" s="34" t="s">
        <v>28</v>
      </c>
      <c r="D8" s="73"/>
      <c r="E8" s="49"/>
      <c r="F8" s="50"/>
      <c r="G8" s="73"/>
      <c r="H8" s="50"/>
    </row>
    <row r="9" spans="1:8" x14ac:dyDescent="0.2">
      <c r="A9" s="1" t="s">
        <v>118</v>
      </c>
      <c r="B9" s="1" t="str">
        <f>VLOOKUP(A9,'[1]SQL DATA'!$B:$J,3,FALSE)</f>
        <v>F&amp;C - Fire Fees</v>
      </c>
      <c r="C9" s="20">
        <f>VLOOKUP(A9,'[1]SQL DATA'!$B:$K,10,FALSE)</f>
        <v>11304.89</v>
      </c>
      <c r="D9" s="20">
        <f>VLOOKUP(A9,'[1]SQL DATA'!$B:$J,9,FALSE)</f>
        <v>1150</v>
      </c>
      <c r="E9" s="15">
        <f>VLOOKUP(A9,'[1]SQL DATA'!$B:$J,7,FALSE)</f>
        <v>118.75</v>
      </c>
      <c r="F9" s="16">
        <f>VLOOKUP(A9,'[1]SQL DATA'!$B:$J,6,FALSE)</f>
        <v>0</v>
      </c>
      <c r="G9" s="73">
        <v>1000</v>
      </c>
      <c r="H9" s="16">
        <v>1000</v>
      </c>
    </row>
    <row r="10" spans="1:8" x14ac:dyDescent="0.2">
      <c r="A10" s="1" t="s">
        <v>119</v>
      </c>
      <c r="B10" s="1" t="str">
        <f>VLOOKUP(A10,'[1]SQL DATA'!$B:$J,3,FALSE)</f>
        <v>F&amp;C - Fire Fees recovered by RM</v>
      </c>
      <c r="C10" s="83">
        <f>VLOOKUP(A10,'[1]SQL DATA'!$B:$K,10,FALSE)</f>
        <v>42410.59</v>
      </c>
      <c r="D10" s="83">
        <f>VLOOKUP(A10,'[1]SQL DATA'!$B:$J,9,FALSE)</f>
        <v>40893.39</v>
      </c>
      <c r="E10" s="84">
        <f>VLOOKUP(A10,'[1]SQL DATA'!$B:$J,7,FALSE)</f>
        <v>43210.84</v>
      </c>
      <c r="F10" s="85">
        <f>VLOOKUP(A10,'[1]SQL DATA'!$B:$J,6,FALSE)</f>
        <v>15497.49</v>
      </c>
      <c r="G10" s="83">
        <v>25000</v>
      </c>
      <c r="H10" s="85">
        <v>42170</v>
      </c>
    </row>
    <row r="11" spans="1:8" x14ac:dyDescent="0.2">
      <c r="A11" s="1" t="s">
        <v>42</v>
      </c>
      <c r="B11" s="82"/>
      <c r="C11" s="73">
        <f t="shared" ref="C11:H11" si="1">SUM(C9:C10)</f>
        <v>53715.479999999996</v>
      </c>
      <c r="D11" s="73">
        <f t="shared" si="1"/>
        <v>42043.39</v>
      </c>
      <c r="E11" s="49">
        <f t="shared" si="1"/>
        <v>43329.59</v>
      </c>
      <c r="F11" s="50">
        <f t="shared" si="1"/>
        <v>15497.49</v>
      </c>
      <c r="G11" s="73">
        <f t="shared" si="1"/>
        <v>26000</v>
      </c>
      <c r="H11" s="50">
        <f t="shared" si="1"/>
        <v>43170</v>
      </c>
    </row>
    <row r="12" spans="1:8" x14ac:dyDescent="0.2">
      <c r="C12" s="73"/>
      <c r="D12" s="73"/>
      <c r="E12" s="49"/>
      <c r="F12" s="50"/>
      <c r="G12" s="73"/>
      <c r="H12" s="50"/>
    </row>
    <row r="13" spans="1:8" x14ac:dyDescent="0.2">
      <c r="A13" s="51" t="s">
        <v>7</v>
      </c>
      <c r="B13" s="72"/>
      <c r="C13" s="30">
        <f t="shared" ref="C13:H13" si="2">+C11+C6</f>
        <v>53715.479999999996</v>
      </c>
      <c r="D13" s="30">
        <f t="shared" si="2"/>
        <v>42043.39</v>
      </c>
      <c r="E13" s="18">
        <f t="shared" si="2"/>
        <v>63542.09</v>
      </c>
      <c r="F13" s="19">
        <f t="shared" si="2"/>
        <v>15497.49</v>
      </c>
      <c r="G13" s="30">
        <f t="shared" si="2"/>
        <v>26000</v>
      </c>
      <c r="H13" s="19">
        <f t="shared" si="2"/>
        <v>43170</v>
      </c>
    </row>
    <row r="14" spans="1:8" x14ac:dyDescent="0.2">
      <c r="D14" s="73"/>
      <c r="E14" s="49"/>
      <c r="F14" s="50"/>
      <c r="G14" s="73"/>
      <c r="H14" s="50"/>
    </row>
    <row r="15" spans="1:8" x14ac:dyDescent="0.2">
      <c r="A15" s="7" t="s">
        <v>9</v>
      </c>
      <c r="B15" s="14"/>
      <c r="C15" s="14"/>
      <c r="D15" s="73"/>
      <c r="E15" s="49"/>
      <c r="F15" s="50"/>
      <c r="G15" s="73"/>
      <c r="H15" s="50"/>
    </row>
    <row r="16" spans="1:8" x14ac:dyDescent="0.2">
      <c r="A16" s="45" t="s">
        <v>51</v>
      </c>
      <c r="D16" s="73"/>
      <c r="E16" s="49"/>
      <c r="F16" s="50"/>
      <c r="G16" s="73"/>
      <c r="H16" s="50"/>
    </row>
    <row r="17" spans="1:12" x14ac:dyDescent="0.2">
      <c r="A17" s="45" t="s">
        <v>120</v>
      </c>
      <c r="B17" s="1" t="str">
        <f>VLOOKUP(A17,'[1]SQL DATA'!$B:$J,3,FALSE)</f>
        <v>PS - Fire - Salaries</v>
      </c>
      <c r="C17" s="20">
        <f>VLOOKUP(A17,'[1]SQL DATA'!$B:$K,10,FALSE)</f>
        <v>12479.9</v>
      </c>
      <c r="D17" s="20">
        <f>VLOOKUP(A17,'[1]SQL DATA'!$B:$J,9,FALSE)</f>
        <v>9922.5400000000009</v>
      </c>
      <c r="E17" s="15">
        <f>VLOOKUP(A17,'[1]SQL DATA'!$B:$J,7,FALSE)</f>
        <v>10072.08</v>
      </c>
      <c r="F17" s="16">
        <f>VLOOKUP(A17,'[1]SQL DATA'!$B:$J,6,FALSE)</f>
        <v>1319.36</v>
      </c>
      <c r="G17" s="79">
        <v>7160</v>
      </c>
      <c r="H17" s="16">
        <f>7500-80-670</f>
        <v>6750</v>
      </c>
    </row>
    <row r="18" spans="1:12" x14ac:dyDescent="0.2">
      <c r="A18" s="45" t="s">
        <v>121</v>
      </c>
      <c r="B18" s="1" t="str">
        <f>VLOOKUP(A18,'[1]SQL DATA'!$B:$J,3,FALSE)</f>
        <v>PS - Fire - Benefits - WCB</v>
      </c>
      <c r="C18" s="20">
        <f>VLOOKUP(A18,'[1]SQL DATA'!$B:$K,10,FALSE)</f>
        <v>42.08</v>
      </c>
      <c r="D18" s="73">
        <f>VLOOKUP(A18,'[1]SQL DATA'!$B:$J,9,FALSE)</f>
        <v>49.15</v>
      </c>
      <c r="E18" s="49">
        <f>VLOOKUP(A18,'[1]SQL DATA'!$B:$J,7,FALSE)</f>
        <v>83.72</v>
      </c>
      <c r="F18" s="50">
        <f>VLOOKUP(A18,'[1]SQL DATA'!$B:$J,6,FALSE)</f>
        <v>60.39</v>
      </c>
      <c r="G18" s="79">
        <v>40</v>
      </c>
      <c r="H18" s="50">
        <v>80</v>
      </c>
    </row>
    <row r="19" spans="1:12" x14ac:dyDescent="0.2">
      <c r="A19" s="45" t="s">
        <v>122</v>
      </c>
      <c r="B19" s="1" t="str">
        <f>VLOOKUP(A19,'[1]SQL DATA'!$B:$J,3,FALSE)</f>
        <v>PS - Fire - Benefits - Group</v>
      </c>
      <c r="C19" s="83">
        <f>VLOOKUP(A19,'[1]SQL DATA'!$B:$K,10,FALSE)</f>
        <v>295.08</v>
      </c>
      <c r="D19" s="83">
        <f>VLOOKUP(A19,'[1]SQL DATA'!$B:$J,9,FALSE)</f>
        <v>669.9</v>
      </c>
      <c r="E19" s="84">
        <f>VLOOKUP(A19,'[1]SQL DATA'!$B:$J,7,FALSE)</f>
        <v>673.52</v>
      </c>
      <c r="F19" s="85">
        <f>VLOOKUP(A19,'[1]SQL DATA'!$B:$J,6,FALSE)</f>
        <v>704</v>
      </c>
      <c r="G19" s="86">
        <v>300</v>
      </c>
      <c r="H19" s="85">
        <v>670</v>
      </c>
    </row>
    <row r="20" spans="1:12" x14ac:dyDescent="0.2">
      <c r="A20" s="9" t="s">
        <v>58</v>
      </c>
      <c r="B20" s="72"/>
      <c r="C20" s="87">
        <f t="shared" ref="C20:H20" si="3">SUM(C17:C19)</f>
        <v>12817.06</v>
      </c>
      <c r="D20" s="87">
        <f t="shared" si="3"/>
        <v>10641.59</v>
      </c>
      <c r="E20" s="52">
        <f t="shared" si="3"/>
        <v>10829.32</v>
      </c>
      <c r="F20" s="53">
        <f t="shared" si="3"/>
        <v>2083.75</v>
      </c>
      <c r="G20" s="87">
        <f t="shared" si="3"/>
        <v>7500</v>
      </c>
      <c r="H20" s="53">
        <f t="shared" si="3"/>
        <v>7500</v>
      </c>
    </row>
    <row r="21" spans="1:12" x14ac:dyDescent="0.2">
      <c r="A21" s="1" t="s">
        <v>8</v>
      </c>
      <c r="D21" s="73"/>
      <c r="E21" s="49"/>
      <c r="F21" s="50"/>
      <c r="G21" s="73"/>
      <c r="H21" s="50"/>
    </row>
    <row r="22" spans="1:12" x14ac:dyDescent="0.2">
      <c r="A22" s="34" t="s">
        <v>59</v>
      </c>
      <c r="B22" s="37"/>
      <c r="C22" s="37"/>
      <c r="D22" s="79"/>
      <c r="E22" s="88"/>
      <c r="F22" s="89"/>
      <c r="G22" s="79"/>
      <c r="H22" s="89"/>
      <c r="L22" s="20"/>
    </row>
    <row r="23" spans="1:12" x14ac:dyDescent="0.2">
      <c r="A23" s="45" t="s">
        <v>123</v>
      </c>
      <c r="B23" s="1" t="str">
        <f>VLOOKUP(A23,'[1]SQL DATA'!$B:$J,3,FALSE)</f>
        <v>PS - Fire - Contracted Services</v>
      </c>
      <c r="C23" s="20">
        <f>VLOOKUP(A23,'[1]SQL DATA'!$B:$K,10,FALSE)</f>
        <v>1106.25</v>
      </c>
      <c r="D23" s="20">
        <f>VLOOKUP(A23,'[1]SQL DATA'!$B:$J,9,FALSE)</f>
        <v>1518.75</v>
      </c>
      <c r="E23" s="15">
        <f>VLOOKUP(A23,'[1]SQL DATA'!$B:$J,7,FALSE)</f>
        <v>1398.08</v>
      </c>
      <c r="F23" s="16">
        <f>VLOOKUP(A23,'[1]SQL DATA'!$B:$J,6,FALSE)</f>
        <v>600</v>
      </c>
      <c r="G23" s="73">
        <v>3400</v>
      </c>
      <c r="H23" s="16">
        <v>4500</v>
      </c>
    </row>
    <row r="24" spans="1:12" x14ac:dyDescent="0.2">
      <c r="A24" s="9" t="s">
        <v>66</v>
      </c>
      <c r="B24" s="72"/>
      <c r="C24" s="90">
        <f t="shared" ref="C24:H24" si="4">SUM(C23)</f>
        <v>1106.25</v>
      </c>
      <c r="D24" s="90">
        <f t="shared" si="4"/>
        <v>1518.75</v>
      </c>
      <c r="E24" s="90">
        <f t="shared" si="4"/>
        <v>1398.08</v>
      </c>
      <c r="F24" s="91">
        <f t="shared" si="4"/>
        <v>600</v>
      </c>
      <c r="G24" s="90">
        <f t="shared" si="4"/>
        <v>3400</v>
      </c>
      <c r="H24" s="91">
        <f t="shared" si="4"/>
        <v>4500</v>
      </c>
    </row>
    <row r="25" spans="1:12" x14ac:dyDescent="0.2">
      <c r="A25" s="1" t="s">
        <v>8</v>
      </c>
      <c r="D25" s="73"/>
      <c r="E25" s="49"/>
      <c r="F25" s="50"/>
      <c r="G25" s="73"/>
      <c r="H25" s="50"/>
    </row>
    <row r="26" spans="1:12" x14ac:dyDescent="0.2">
      <c r="A26" s="58" t="s">
        <v>67</v>
      </c>
      <c r="D26" s="73"/>
      <c r="E26" s="49"/>
      <c r="F26" s="50"/>
      <c r="G26" s="73"/>
      <c r="H26" s="50"/>
    </row>
    <row r="27" spans="1:12" x14ac:dyDescent="0.2">
      <c r="A27" s="45" t="s">
        <v>124</v>
      </c>
      <c r="B27" s="1" t="str">
        <f>VLOOKUP(A27,'[1]SQL DATA'!$B:$J,3,FALSE)</f>
        <v>PS - Fire - Utility - Telephone</v>
      </c>
      <c r="C27" s="20">
        <f>VLOOKUP(A27,'[1]SQL DATA'!$B:$K,10,FALSE)</f>
        <v>4354.26</v>
      </c>
      <c r="D27" s="20">
        <f>VLOOKUP(A27,'[1]SQL DATA'!$B:$J,9,FALSE)</f>
        <v>4683.79</v>
      </c>
      <c r="E27" s="15">
        <f>VLOOKUP(A27,'[1]SQL DATA'!$B:$J,7,FALSE)</f>
        <v>5234.1400000000003</v>
      </c>
      <c r="F27" s="16">
        <f>VLOOKUP(A27,'[1]SQL DATA'!$B:$J,6,FALSE)</f>
        <v>1752.36</v>
      </c>
      <c r="G27" s="73">
        <v>4700</v>
      </c>
      <c r="H27" s="16">
        <v>3250</v>
      </c>
    </row>
    <row r="28" spans="1:12" x14ac:dyDescent="0.2">
      <c r="A28" s="9" t="s">
        <v>72</v>
      </c>
      <c r="B28" s="72"/>
      <c r="C28" s="92">
        <f t="shared" ref="C28:H28" si="5">+C27</f>
        <v>4354.26</v>
      </c>
      <c r="D28" s="92">
        <f t="shared" si="5"/>
        <v>4683.79</v>
      </c>
      <c r="E28" s="90">
        <f t="shared" si="5"/>
        <v>5234.1400000000003</v>
      </c>
      <c r="F28" s="91">
        <f t="shared" si="5"/>
        <v>1752.36</v>
      </c>
      <c r="G28" s="92">
        <f t="shared" si="5"/>
        <v>4700</v>
      </c>
      <c r="H28" s="91">
        <f t="shared" si="5"/>
        <v>3250</v>
      </c>
    </row>
    <row r="29" spans="1:12" x14ac:dyDescent="0.2">
      <c r="A29" s="1" t="s">
        <v>8</v>
      </c>
      <c r="D29" s="73"/>
      <c r="E29" s="49"/>
      <c r="F29" s="50"/>
      <c r="G29" s="73"/>
      <c r="H29" s="50"/>
    </row>
    <row r="30" spans="1:12" x14ac:dyDescent="0.2">
      <c r="A30" s="34" t="s">
        <v>111</v>
      </c>
      <c r="B30" s="37"/>
      <c r="C30" s="37"/>
      <c r="D30" s="79"/>
      <c r="E30" s="88"/>
      <c r="F30" s="89"/>
      <c r="G30" s="79"/>
      <c r="H30" s="89"/>
    </row>
    <row r="31" spans="1:12" x14ac:dyDescent="0.2">
      <c r="A31" s="37" t="s">
        <v>125</v>
      </c>
      <c r="B31" s="1" t="str">
        <f>VLOOKUP(A31,'[1]SQL DATA'!$B:$J,3,FALSE)</f>
        <v>PS - Fire - Training</v>
      </c>
      <c r="C31" s="20">
        <f>VLOOKUP(A31,'[1]SQL DATA'!$B:$K,10,FALSE)</f>
        <v>373.68</v>
      </c>
      <c r="D31" s="20">
        <f>VLOOKUP(A31,'[1]SQL DATA'!$B:$J,9,FALSE)</f>
        <v>0</v>
      </c>
      <c r="E31" s="15">
        <f>VLOOKUP(A31,'[1]SQL DATA'!$B:$J,7,FALSE)</f>
        <v>0</v>
      </c>
      <c r="F31" s="16">
        <f>VLOOKUP(A31,'[1]SQL DATA'!$B:$J,6,FALSE)</f>
        <v>412.5</v>
      </c>
      <c r="G31" s="79">
        <v>2500</v>
      </c>
      <c r="H31" s="16">
        <v>3750</v>
      </c>
    </row>
    <row r="32" spans="1:12" x14ac:dyDescent="0.2">
      <c r="A32" s="37" t="s">
        <v>126</v>
      </c>
      <c r="B32" s="1" t="str">
        <f>VLOOKUP(A32,'[1]SQL DATA'!$B:$J,3,FALSE)</f>
        <v>PS - Fire - Insurance</v>
      </c>
      <c r="C32" s="20">
        <f>VLOOKUP(A32,'[1]SQL DATA'!$B:$K,10,FALSE)</f>
        <v>397.01</v>
      </c>
      <c r="D32" s="20">
        <f>VLOOKUP(A32,'[1]SQL DATA'!$B:$J,9,FALSE)</f>
        <v>378.95</v>
      </c>
      <c r="E32" s="15">
        <f>VLOOKUP(A32,'[1]SQL DATA'!$B:$J,7,FALSE)</f>
        <v>437.25</v>
      </c>
      <c r="F32" s="16">
        <f>VLOOKUP(A32,'[1]SQL DATA'!$B:$J,6,FALSE)</f>
        <v>437.25</v>
      </c>
      <c r="G32" s="79">
        <v>440</v>
      </c>
      <c r="H32" s="16">
        <v>1750</v>
      </c>
    </row>
    <row r="33" spans="1:8" x14ac:dyDescent="0.2">
      <c r="A33" s="37" t="s">
        <v>127</v>
      </c>
      <c r="B33" s="1" t="str">
        <f>VLOOKUP(A33,'[1]SQL DATA'!$B:$J,3,FALSE)</f>
        <v>PS - Fire - Memberships/Subscriptions</v>
      </c>
      <c r="C33" s="20">
        <f>VLOOKUP(A33,'[1]SQL DATA'!$B:$K,10,FALSE)</f>
        <v>1846</v>
      </c>
      <c r="D33" s="20">
        <f>VLOOKUP(A33,'[1]SQL DATA'!$B:$J,9,FALSE)</f>
        <v>1221.8499999999999</v>
      </c>
      <c r="E33" s="15">
        <f>VLOOKUP(A33,'[1]SQL DATA'!$B:$J,7,FALSE)</f>
        <v>277.43</v>
      </c>
      <c r="F33" s="16">
        <f>VLOOKUP(A33,'[1]SQL DATA'!$B:$J,6,FALSE)</f>
        <v>2336.35</v>
      </c>
      <c r="G33" s="79">
        <v>1000</v>
      </c>
      <c r="H33" s="16">
        <v>500</v>
      </c>
    </row>
    <row r="34" spans="1:8" x14ac:dyDescent="0.2">
      <c r="A34" s="37" t="s">
        <v>128</v>
      </c>
      <c r="B34" s="1" t="str">
        <f>VLOOKUP(A34,'[1]SQL DATA'!$B:$J,3,FALSE)</f>
        <v>PS - Fire Vehi/Equip. Repair/Parts/Tools</v>
      </c>
      <c r="C34" s="20">
        <f>VLOOKUP(A34,'[1]SQL DATA'!$B:$K,10,FALSE)</f>
        <v>189.9</v>
      </c>
      <c r="D34" s="20">
        <f>VLOOKUP(A34,'[1]SQL DATA'!$B:$J,9,FALSE)</f>
        <v>0</v>
      </c>
      <c r="E34" s="15">
        <f>VLOOKUP(A34,'[1]SQL DATA'!$B:$J,7,FALSE)</f>
        <v>963.05</v>
      </c>
      <c r="F34" s="16">
        <f>VLOOKUP(A34,'[1]SQL DATA'!$B:$J,6,FALSE)</f>
        <v>4101.7700000000004</v>
      </c>
      <c r="G34" s="79">
        <v>1750</v>
      </c>
      <c r="H34" s="16">
        <v>5000</v>
      </c>
    </row>
    <row r="35" spans="1:8" s="9" customFormat="1" x14ac:dyDescent="0.2">
      <c r="A35" s="37" t="s">
        <v>129</v>
      </c>
      <c r="B35" s="1" t="str">
        <f>VLOOKUP(A35,'[1]SQL DATA'!$B:$J,3,FALSE)</f>
        <v>PS - Fire - Oil &amp; Gas</v>
      </c>
      <c r="C35" s="20">
        <f>VLOOKUP(A35,'[1]SQL DATA'!$B:$K,10,FALSE)</f>
        <v>1656.29</v>
      </c>
      <c r="D35" s="20">
        <f>VLOOKUP(A35,'[1]SQL DATA'!$B:$J,9,FALSE)</f>
        <v>1184.97</v>
      </c>
      <c r="E35" s="15">
        <f>VLOOKUP(A35,'[1]SQL DATA'!$B:$J,7,FALSE)</f>
        <v>2191.04</v>
      </c>
      <c r="F35" s="16">
        <f>VLOOKUP(A35,'[1]SQL DATA'!$B:$J,6,FALSE)</f>
        <v>1287.52</v>
      </c>
      <c r="G35" s="88">
        <v>1750</v>
      </c>
      <c r="H35" s="16">
        <v>1750</v>
      </c>
    </row>
    <row r="36" spans="1:8" x14ac:dyDescent="0.2">
      <c r="A36" s="37" t="s">
        <v>130</v>
      </c>
      <c r="B36" s="1" t="str">
        <f>VLOOKUP(A36,'[1]SQL DATA'!$B:$J,3,FALSE)</f>
        <v>PS - Fire - Small Tools/Equipment</v>
      </c>
      <c r="C36" s="20">
        <f>VLOOKUP(A36,'[1]SQL DATA'!$B:$K,10,FALSE)</f>
        <v>35.06</v>
      </c>
      <c r="D36" s="20">
        <f>VLOOKUP(A36,'[1]SQL DATA'!$B:$J,9,FALSE)</f>
        <v>5032.34</v>
      </c>
      <c r="E36" s="15">
        <f>VLOOKUP(A36,'[1]SQL DATA'!$B:$J,7,FALSE)</f>
        <v>18525.89</v>
      </c>
      <c r="F36" s="16">
        <f>VLOOKUP(A36,'[1]SQL DATA'!$B:$J,6,FALSE)</f>
        <v>1227.72</v>
      </c>
      <c r="G36" s="79">
        <v>8500</v>
      </c>
      <c r="H36" s="16">
        <v>10000</v>
      </c>
    </row>
    <row r="37" spans="1:8" x14ac:dyDescent="0.2">
      <c r="A37" s="45" t="s">
        <v>131</v>
      </c>
      <c r="B37" s="1" t="str">
        <f>VLOOKUP(A37,'[1]SQL DATA'!$B:$J,3,FALSE)</f>
        <v>PS - Fire - Material &amp; Supplies</v>
      </c>
      <c r="C37" s="20">
        <f>VLOOKUP(A37,'[1]SQL DATA'!$B:$K,10,FALSE)</f>
        <v>6116.25</v>
      </c>
      <c r="D37" s="20">
        <f>VLOOKUP(A37,'[1]SQL DATA'!$B:$J,9,FALSE)</f>
        <v>5300.03</v>
      </c>
      <c r="E37" s="15">
        <f>VLOOKUP(A37,'[1]SQL DATA'!$B:$J,7,FALSE)</f>
        <v>1006</v>
      </c>
      <c r="F37" s="16">
        <f>VLOOKUP(A37,'[1]SQL DATA'!$B:$J,6,FALSE)</f>
        <v>1258.8499999999999</v>
      </c>
      <c r="G37" s="73">
        <v>20500</v>
      </c>
      <c r="H37" s="16">
        <f>7500</f>
        <v>7500</v>
      </c>
    </row>
    <row r="38" spans="1:8" x14ac:dyDescent="0.2">
      <c r="A38" s="9" t="s">
        <v>85</v>
      </c>
      <c r="B38" s="72"/>
      <c r="C38" s="66">
        <f t="shared" ref="C38:H38" si="6">SUM(C31:C37)</f>
        <v>10614.19</v>
      </c>
      <c r="D38" s="66">
        <f t="shared" si="6"/>
        <v>13118.14</v>
      </c>
      <c r="E38" s="67">
        <f t="shared" si="6"/>
        <v>23400.66</v>
      </c>
      <c r="F38" s="68">
        <f t="shared" si="6"/>
        <v>11061.960000000001</v>
      </c>
      <c r="G38" s="66">
        <f t="shared" si="6"/>
        <v>36440</v>
      </c>
      <c r="H38" s="68">
        <f t="shared" si="6"/>
        <v>30250</v>
      </c>
    </row>
    <row r="39" spans="1:8" x14ac:dyDescent="0.2">
      <c r="A39" s="1" t="s">
        <v>8</v>
      </c>
      <c r="D39" s="73"/>
      <c r="E39" s="49"/>
      <c r="F39" s="50"/>
      <c r="G39" s="73"/>
      <c r="H39" s="50"/>
    </row>
    <row r="40" spans="1:8" x14ac:dyDescent="0.2">
      <c r="A40" s="58" t="s">
        <v>89</v>
      </c>
      <c r="B40" s="54"/>
      <c r="C40" s="54"/>
      <c r="D40" s="93"/>
      <c r="E40" s="94"/>
      <c r="F40" s="95"/>
      <c r="G40" s="93"/>
      <c r="H40" s="95"/>
    </row>
    <row r="41" spans="1:8" x14ac:dyDescent="0.2">
      <c r="A41" s="45" t="s">
        <v>132</v>
      </c>
      <c r="B41" s="1" t="str">
        <f>VLOOKUP(A41,'[1]SQL DATA'!$B:$J,3,FALSE)</f>
        <v>PS - Fire - Amortization Expense</v>
      </c>
      <c r="C41" s="20">
        <f>VLOOKUP(A41,'[1]SQL DATA'!$B:$K,10,FALSE)</f>
        <v>5109</v>
      </c>
      <c r="D41" s="20">
        <f>VLOOKUP(A41,'[1]SQL DATA'!$B:$J,9,FALSE)</f>
        <v>7671.3</v>
      </c>
      <c r="E41" s="15">
        <f>VLOOKUP(A41,'[1]SQL DATA'!$B:$J,7,FALSE)</f>
        <v>8399.4699999999993</v>
      </c>
      <c r="F41" s="16">
        <f>VLOOKUP(A41,'[1]SQL DATA'!$B:$J,6,FALSE)</f>
        <v>0</v>
      </c>
      <c r="G41" s="96">
        <v>0</v>
      </c>
      <c r="H41" s="16">
        <v>0</v>
      </c>
    </row>
    <row r="42" spans="1:8" x14ac:dyDescent="0.2">
      <c r="A42" s="9" t="s">
        <v>91</v>
      </c>
      <c r="B42" s="9"/>
      <c r="C42" s="92">
        <f>SUM(C41)</f>
        <v>5109</v>
      </c>
      <c r="D42" s="92">
        <f>SUM(D41)</f>
        <v>7671.3</v>
      </c>
      <c r="E42" s="90">
        <f t="shared" ref="E42:H42" si="7">SUM(E41)</f>
        <v>8399.4699999999993</v>
      </c>
      <c r="F42" s="91">
        <f t="shared" si="7"/>
        <v>0</v>
      </c>
      <c r="G42" s="92">
        <f t="shared" si="7"/>
        <v>0</v>
      </c>
      <c r="H42" s="91">
        <f t="shared" si="7"/>
        <v>0</v>
      </c>
    </row>
    <row r="43" spans="1:8" x14ac:dyDescent="0.2">
      <c r="A43" s="9"/>
      <c r="B43" s="9"/>
      <c r="C43" s="9"/>
      <c r="D43" s="96"/>
      <c r="E43" s="97"/>
      <c r="F43" s="98"/>
      <c r="G43" s="96"/>
      <c r="H43" s="98"/>
    </row>
    <row r="44" spans="1:8" x14ac:dyDescent="0.2">
      <c r="A44" s="58" t="s">
        <v>95</v>
      </c>
      <c r="D44" s="73"/>
      <c r="E44" s="49"/>
      <c r="F44" s="50"/>
      <c r="G44" s="73"/>
      <c r="H44" s="50"/>
    </row>
    <row r="45" spans="1:8" x14ac:dyDescent="0.2">
      <c r="A45" s="45" t="s">
        <v>133</v>
      </c>
      <c r="B45" s="1" t="str">
        <f>VLOOKUP(A45,'[1]SQL DATA'!$B:$J,3,FALSE)</f>
        <v>PS - Fire - Travel, Meals &amp; Subsistence</v>
      </c>
      <c r="C45" s="20">
        <f>VLOOKUP(A45,'[1]SQL DATA'!$B:$K,10,FALSE)</f>
        <v>0</v>
      </c>
      <c r="D45" s="20">
        <f>VLOOKUP(A45,'[1]SQL DATA'!$B:$J,9,FALSE)</f>
        <v>0</v>
      </c>
      <c r="E45" s="15">
        <f>VLOOKUP(A45,'[1]SQL DATA'!$B:$J,7,FALSE)</f>
        <v>0</v>
      </c>
      <c r="F45" s="16">
        <f>VLOOKUP(A45,'[1]SQL DATA'!$B:$J,6,FALSE)</f>
        <v>0</v>
      </c>
      <c r="G45" s="79">
        <v>500</v>
      </c>
      <c r="H45" s="16">
        <v>380</v>
      </c>
    </row>
    <row r="46" spans="1:8" x14ac:dyDescent="0.2">
      <c r="A46" s="9" t="s">
        <v>98</v>
      </c>
      <c r="B46" s="72"/>
      <c r="C46" s="92">
        <f t="shared" ref="C46:H46" si="8">+C45</f>
        <v>0</v>
      </c>
      <c r="D46" s="92">
        <f t="shared" si="8"/>
        <v>0</v>
      </c>
      <c r="E46" s="90">
        <f t="shared" si="8"/>
        <v>0</v>
      </c>
      <c r="F46" s="91">
        <f t="shared" si="8"/>
        <v>0</v>
      </c>
      <c r="G46" s="92">
        <f t="shared" si="8"/>
        <v>500</v>
      </c>
      <c r="H46" s="91">
        <f t="shared" si="8"/>
        <v>380</v>
      </c>
    </row>
    <row r="47" spans="1:8" x14ac:dyDescent="0.2">
      <c r="A47" s="1" t="s">
        <v>8</v>
      </c>
      <c r="D47" s="73"/>
      <c r="E47" s="49"/>
      <c r="F47" s="50"/>
      <c r="G47" s="73"/>
      <c r="H47" s="50"/>
    </row>
    <row r="48" spans="1:8" x14ac:dyDescent="0.2">
      <c r="A48" s="37" t="s">
        <v>134</v>
      </c>
      <c r="B48" s="1" t="str">
        <f>VLOOKUP(A48,'[1]SQL DATA'!$B:$J,3,FALSE)</f>
        <v>PS - Fire - Pur of Cap Assets - Equip</v>
      </c>
      <c r="C48" s="20">
        <f>VLOOKUP(A48,'[1]SQL DATA'!$B:$K,10,FALSE)</f>
        <v>0</v>
      </c>
      <c r="D48" s="20">
        <f>VLOOKUP(A48,'[1]SQL DATA'!$B:$J,9,FALSE)</f>
        <v>0</v>
      </c>
      <c r="E48" s="15">
        <f>VLOOKUP(A48,'[1]SQL DATA'!$B:$J,7,FALSE)</f>
        <v>0</v>
      </c>
      <c r="F48" s="16">
        <f>VLOOKUP(A48,'[1]SQL DATA'!$B:$J,6,FALSE)</f>
        <v>1007.62</v>
      </c>
      <c r="G48" s="79">
        <v>0</v>
      </c>
      <c r="H48" s="16">
        <v>0</v>
      </c>
    </row>
    <row r="49" spans="1:8" x14ac:dyDescent="0.2">
      <c r="A49" s="63" t="s">
        <v>135</v>
      </c>
      <c r="B49" s="64" t="str">
        <f>VLOOKUP(A49,'[1]SQL DATA'!$B:$J,3,FALSE)</f>
        <v>Transfer to Reserves - Fire/EMO</v>
      </c>
      <c r="C49" s="65">
        <f>VLOOKUP(A49,'[1]SQL DATA'!$B:$K,10,FALSE)</f>
        <v>13000</v>
      </c>
      <c r="D49" s="65">
        <f>VLOOKUP(A49,'[1]SQL DATA'!$B:$J,9,FALSE)</f>
        <v>13000</v>
      </c>
      <c r="E49" s="65">
        <f>VLOOKUP(A49,'[1]SQL DATA'!$B:$J,7,FALSE)</f>
        <v>8000</v>
      </c>
      <c r="F49" s="65">
        <f>VLOOKUP(A49,'[1]SQL DATA'!$B:$J,6,FALSE)</f>
        <v>0</v>
      </c>
      <c r="G49" s="99">
        <v>8000</v>
      </c>
      <c r="H49" s="65">
        <v>15000</v>
      </c>
    </row>
    <row r="50" spans="1:8" x14ac:dyDescent="0.2">
      <c r="A50" s="45"/>
      <c r="B50" s="1" t="s">
        <v>136</v>
      </c>
      <c r="C50" s="92">
        <f t="shared" ref="C50:H50" si="9">SUM(C48:C49)</f>
        <v>13000</v>
      </c>
      <c r="D50" s="92">
        <f t="shared" si="9"/>
        <v>13000</v>
      </c>
      <c r="E50" s="90">
        <f t="shared" si="9"/>
        <v>8000</v>
      </c>
      <c r="F50" s="91">
        <f t="shared" si="9"/>
        <v>1007.62</v>
      </c>
      <c r="G50" s="92">
        <f t="shared" si="9"/>
        <v>8000</v>
      </c>
      <c r="H50" s="91">
        <f t="shared" si="9"/>
        <v>15000</v>
      </c>
    </row>
    <row r="51" spans="1:8" x14ac:dyDescent="0.2">
      <c r="A51" s="45"/>
      <c r="D51" s="73"/>
      <c r="E51" s="49"/>
      <c r="F51" s="50"/>
      <c r="G51" s="73"/>
      <c r="H51" s="50"/>
    </row>
    <row r="52" spans="1:8" x14ac:dyDescent="0.2">
      <c r="A52" s="51" t="s">
        <v>21</v>
      </c>
      <c r="B52" s="72"/>
      <c r="C52" s="59">
        <f t="shared" ref="C52:H52" si="10">+C50+C46+C42+C38+C28+C24+C20</f>
        <v>47000.76</v>
      </c>
      <c r="D52" s="59">
        <f t="shared" si="10"/>
        <v>50633.570000000007</v>
      </c>
      <c r="E52" s="47">
        <f t="shared" si="10"/>
        <v>57261.670000000006</v>
      </c>
      <c r="F52" s="48">
        <f t="shared" si="10"/>
        <v>16505.690000000002</v>
      </c>
      <c r="G52" s="59">
        <f t="shared" si="10"/>
        <v>60540</v>
      </c>
      <c r="H52" s="48">
        <f t="shared" si="10"/>
        <v>60880</v>
      </c>
    </row>
    <row r="53" spans="1:8" ht="15.75" customHeight="1" thickBot="1" x14ac:dyDescent="0.25">
      <c r="A53" s="74" t="s">
        <v>22</v>
      </c>
      <c r="B53" s="74"/>
      <c r="C53" s="100">
        <f>(+C13)-C52</f>
        <v>6714.7199999999939</v>
      </c>
      <c r="D53" s="100">
        <f>(+D13)-D52</f>
        <v>-8590.1800000000076</v>
      </c>
      <c r="E53" s="101">
        <f t="shared" ref="E53:H53" si="11">(+E13)-E52</f>
        <v>6280.419999999991</v>
      </c>
      <c r="F53" s="102">
        <f t="shared" si="11"/>
        <v>-1008.2000000000025</v>
      </c>
      <c r="G53" s="100">
        <f t="shared" si="11"/>
        <v>-34540</v>
      </c>
      <c r="H53" s="102">
        <f t="shared" si="11"/>
        <v>-17710</v>
      </c>
    </row>
    <row r="54" spans="1:8" ht="13.5" thickTop="1" x14ac:dyDescent="0.2">
      <c r="B54" s="103" t="s">
        <v>137</v>
      </c>
      <c r="C54" s="103"/>
    </row>
    <row r="55" spans="1:8" x14ac:dyDescent="0.2">
      <c r="B55" s="103" t="s">
        <v>138</v>
      </c>
      <c r="C55" s="103"/>
    </row>
  </sheetData>
  <mergeCells count="1">
    <mergeCell ref="A53:B53"/>
  </mergeCells>
  <pageMargins left="0.74803149606299213" right="0.74803149606299213" top="0.74803149606299213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Fire Dept
</oddHeader>
    <oddFooter>&amp;L&amp;P of &amp;N &amp;C&amp;R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8EB15-62AB-45BA-B4EA-D005535CC58C}">
  <dimension ref="A1:H26"/>
  <sheetViews>
    <sheetView zoomScale="150" zoomScaleNormal="150" zoomScalePageLayoutView="90" workbookViewId="0">
      <selection activeCell="G9" sqref="G9"/>
    </sheetView>
  </sheetViews>
  <sheetFormatPr defaultColWidth="8.85546875" defaultRowHeight="12.75" x14ac:dyDescent="0.2"/>
  <cols>
    <col min="1" max="1" width="15.42578125" style="1" customWidth="1"/>
    <col min="2" max="2" width="29.28515625" style="1" customWidth="1"/>
    <col min="3" max="4" width="6.5703125" style="1" bestFit="1" customWidth="1"/>
    <col min="5" max="6" width="7.5703125" style="1" bestFit="1" customWidth="1"/>
    <col min="7" max="7" width="10.85546875" style="1" customWidth="1"/>
    <col min="8" max="8" width="6.5703125" style="1" bestFit="1" customWidth="1"/>
    <col min="9" max="16384" width="8.85546875" style="1"/>
  </cols>
  <sheetData>
    <row r="1" spans="1:8" x14ac:dyDescent="0.2">
      <c r="B1" s="71"/>
      <c r="C1" s="2">
        <v>2019</v>
      </c>
      <c r="D1" s="2">
        <v>2020</v>
      </c>
      <c r="E1" s="2">
        <v>2021</v>
      </c>
      <c r="F1" s="3">
        <v>2022</v>
      </c>
      <c r="G1" s="2">
        <v>2021</v>
      </c>
      <c r="H1" s="3">
        <v>2022</v>
      </c>
    </row>
    <row r="2" spans="1:8" x14ac:dyDescent="0.2">
      <c r="B2" s="2"/>
      <c r="C2" s="4" t="s">
        <v>0</v>
      </c>
      <c r="D2" s="5" t="s">
        <v>0</v>
      </c>
      <c r="E2" s="5" t="s">
        <v>0</v>
      </c>
      <c r="F2" s="6" t="s">
        <v>0</v>
      </c>
      <c r="G2" s="5" t="s">
        <v>1</v>
      </c>
      <c r="H2" s="6" t="s">
        <v>1</v>
      </c>
    </row>
    <row r="3" spans="1:8" x14ac:dyDescent="0.2">
      <c r="A3" s="7" t="s">
        <v>2</v>
      </c>
      <c r="F3" s="8"/>
      <c r="H3" s="8"/>
    </row>
    <row r="4" spans="1:8" x14ac:dyDescent="0.2">
      <c r="A4" s="45" t="s">
        <v>28</v>
      </c>
      <c r="B4" s="45"/>
      <c r="C4" s="45"/>
      <c r="D4" s="45"/>
      <c r="E4" s="45"/>
      <c r="F4" s="104"/>
      <c r="G4" s="45"/>
      <c r="H4" s="104"/>
    </row>
    <row r="5" spans="1:8" x14ac:dyDescent="0.2">
      <c r="A5" s="37" t="s">
        <v>139</v>
      </c>
      <c r="B5" s="1" t="str">
        <f>VLOOKUP(A5,'[1]SQL DATA'!$B:$J,3,FALSE)</f>
        <v>F&amp;C - Building Permit Fee</v>
      </c>
      <c r="C5" s="20">
        <f>VLOOKUP(A5,'[1]SQL DATA'!$B:$K,10,FALSE)</f>
        <v>5234.6000000000004</v>
      </c>
      <c r="D5" s="20">
        <f>VLOOKUP(A5,'[1]SQL DATA'!$B:$J,9,FALSE)</f>
        <v>6429.76</v>
      </c>
      <c r="E5" s="15">
        <f>VLOOKUP(A5,'[1]SQL DATA'!$B:$J,7,FALSE)</f>
        <v>10918.71</v>
      </c>
      <c r="F5" s="16">
        <f>VLOOKUP(A5,'[1]SQL DATA'!$B:$J,6,FALSE)</f>
        <v>18694.82</v>
      </c>
      <c r="G5" s="73">
        <v>10000</v>
      </c>
      <c r="H5" s="16">
        <v>7530</v>
      </c>
    </row>
    <row r="6" spans="1:8" x14ac:dyDescent="0.2">
      <c r="A6" s="37" t="s">
        <v>140</v>
      </c>
      <c r="B6" s="1" t="str">
        <f>VLOOKUP(A6,'[1]SQL DATA'!$B:$J,3,FALSE)</f>
        <v>F&amp;C - Development &amp;/or Discretionary Use</v>
      </c>
      <c r="C6" s="20">
        <f>VLOOKUP(A6,'[1]SQL DATA'!$B:$K,10,FALSE)</f>
        <v>600</v>
      </c>
      <c r="D6" s="20">
        <f>VLOOKUP(A6,'[1]SQL DATA'!$B:$J,9,FALSE)</f>
        <v>500</v>
      </c>
      <c r="E6" s="15">
        <f>VLOOKUP(A6,'[1]SQL DATA'!$B:$J,7,FALSE)</f>
        <v>4883.7</v>
      </c>
      <c r="F6" s="16">
        <f>VLOOKUP(A6,'[1]SQL DATA'!$B:$J,6,FALSE)</f>
        <v>605.07000000000005</v>
      </c>
      <c r="G6" s="73">
        <v>1000</v>
      </c>
      <c r="H6" s="16">
        <v>1990</v>
      </c>
    </row>
    <row r="7" spans="1:8" x14ac:dyDescent="0.2">
      <c r="A7" s="9" t="s">
        <v>42</v>
      </c>
      <c r="B7" s="82"/>
      <c r="C7" s="92">
        <f t="shared" ref="C7:H7" si="0">SUM(C5:C6)</f>
        <v>5834.6</v>
      </c>
      <c r="D7" s="92">
        <f t="shared" si="0"/>
        <v>6929.76</v>
      </c>
      <c r="E7" s="90">
        <f t="shared" si="0"/>
        <v>15802.41</v>
      </c>
      <c r="F7" s="91">
        <f t="shared" si="0"/>
        <v>19299.89</v>
      </c>
      <c r="G7" s="92">
        <f t="shared" si="0"/>
        <v>11000</v>
      </c>
      <c r="H7" s="91">
        <f t="shared" si="0"/>
        <v>9520</v>
      </c>
    </row>
    <row r="8" spans="1:8" x14ac:dyDescent="0.2">
      <c r="C8" s="73"/>
      <c r="D8" s="73"/>
      <c r="E8" s="49"/>
      <c r="F8" s="50"/>
      <c r="G8" s="73"/>
      <c r="H8" s="50"/>
    </row>
    <row r="9" spans="1:8" x14ac:dyDescent="0.2">
      <c r="A9" s="51" t="s">
        <v>7</v>
      </c>
      <c r="B9" s="105"/>
      <c r="C9" s="30">
        <f t="shared" ref="C9:H9" si="1">+C7</f>
        <v>5834.6</v>
      </c>
      <c r="D9" s="30">
        <f t="shared" si="1"/>
        <v>6929.76</v>
      </c>
      <c r="E9" s="18">
        <f t="shared" si="1"/>
        <v>15802.41</v>
      </c>
      <c r="F9" s="19">
        <f t="shared" si="1"/>
        <v>19299.89</v>
      </c>
      <c r="G9" s="30">
        <f t="shared" si="1"/>
        <v>11000</v>
      </c>
      <c r="H9" s="19">
        <f t="shared" si="1"/>
        <v>9520</v>
      </c>
    </row>
    <row r="10" spans="1:8" x14ac:dyDescent="0.2">
      <c r="A10" s="1" t="s">
        <v>8</v>
      </c>
      <c r="D10" s="73"/>
      <c r="E10" s="49"/>
      <c r="F10" s="50"/>
      <c r="G10" s="73"/>
      <c r="H10" s="50"/>
    </row>
    <row r="11" spans="1:8" x14ac:dyDescent="0.2">
      <c r="A11" s="7" t="s">
        <v>9</v>
      </c>
      <c r="D11" s="73"/>
      <c r="E11" s="49"/>
      <c r="F11" s="50"/>
      <c r="G11" s="73"/>
      <c r="H11" s="50"/>
    </row>
    <row r="12" spans="1:8" x14ac:dyDescent="0.2">
      <c r="A12" s="45" t="s">
        <v>59</v>
      </c>
      <c r="D12" s="73"/>
      <c r="E12" s="49"/>
      <c r="F12" s="50"/>
      <c r="G12" s="73"/>
      <c r="H12" s="50"/>
    </row>
    <row r="13" spans="1:8" x14ac:dyDescent="0.2">
      <c r="A13" s="37" t="s">
        <v>141</v>
      </c>
      <c r="B13" s="1" t="str">
        <f>VLOOKUP(A13,'[1]SQL DATA'!$B:$J,3,FALSE)</f>
        <v>PS - Building Inspections</v>
      </c>
      <c r="C13" s="20">
        <f>VLOOKUP(A13,'[1]SQL DATA'!$B:$K,10,FALSE)</f>
        <v>4177.25</v>
      </c>
      <c r="D13" s="20">
        <f>VLOOKUP(A13,'[1]SQL DATA'!$B:$J,9,FALSE)</f>
        <v>6632.14</v>
      </c>
      <c r="E13" s="15">
        <f>VLOOKUP(A13,'[1]SQL DATA'!$B:$J,7,FALSE)</f>
        <v>12326.4</v>
      </c>
      <c r="F13" s="16">
        <f>VLOOKUP(A13,'[1]SQL DATA'!$B:$J,6,FALSE)</f>
        <v>19698.330000000002</v>
      </c>
      <c r="G13" s="73">
        <v>7500</v>
      </c>
      <c r="H13" s="16">
        <v>8050</v>
      </c>
    </row>
    <row r="14" spans="1:8" x14ac:dyDescent="0.2">
      <c r="A14" s="9" t="s">
        <v>66</v>
      </c>
      <c r="B14" s="82"/>
      <c r="C14" s="92">
        <f t="shared" ref="C14:H14" si="2">+C13</f>
        <v>4177.25</v>
      </c>
      <c r="D14" s="92">
        <f t="shared" si="2"/>
        <v>6632.14</v>
      </c>
      <c r="E14" s="90">
        <f t="shared" si="2"/>
        <v>12326.4</v>
      </c>
      <c r="F14" s="91">
        <f t="shared" si="2"/>
        <v>19698.330000000002</v>
      </c>
      <c r="G14" s="92">
        <f t="shared" si="2"/>
        <v>7500</v>
      </c>
      <c r="H14" s="91">
        <f t="shared" si="2"/>
        <v>8050</v>
      </c>
    </row>
    <row r="15" spans="1:8" x14ac:dyDescent="0.2">
      <c r="A15" s="9"/>
      <c r="B15" s="82"/>
      <c r="C15" s="73"/>
      <c r="D15" s="73"/>
      <c r="E15" s="49"/>
      <c r="F15" s="50"/>
      <c r="G15" s="73"/>
      <c r="H15" s="50"/>
    </row>
    <row r="16" spans="1:8" x14ac:dyDescent="0.2">
      <c r="A16" s="51" t="s">
        <v>21</v>
      </c>
      <c r="B16" s="105"/>
      <c r="C16" s="30">
        <f>+C14</f>
        <v>4177.25</v>
      </c>
      <c r="D16" s="30">
        <f>+D14</f>
        <v>6632.14</v>
      </c>
      <c r="E16" s="18">
        <f>+E14</f>
        <v>12326.4</v>
      </c>
      <c r="F16" s="19">
        <f>+F14</f>
        <v>19698.330000000002</v>
      </c>
      <c r="G16" s="30">
        <f t="shared" ref="G16:H16" si="3">+G14</f>
        <v>7500</v>
      </c>
      <c r="H16" s="19">
        <f t="shared" si="3"/>
        <v>8050</v>
      </c>
    </row>
    <row r="17" spans="1:8" x14ac:dyDescent="0.2">
      <c r="A17" s="1" t="s">
        <v>8</v>
      </c>
      <c r="C17" s="73"/>
      <c r="D17" s="73"/>
      <c r="E17" s="49"/>
      <c r="F17" s="50"/>
      <c r="G17" s="73"/>
      <c r="H17" s="50"/>
    </row>
    <row r="18" spans="1:8" ht="15.75" customHeight="1" thickBot="1" x14ac:dyDescent="0.25">
      <c r="A18" s="74" t="s">
        <v>22</v>
      </c>
      <c r="B18" s="74"/>
      <c r="C18" s="106">
        <f>(+C9)-C16</f>
        <v>1657.3500000000004</v>
      </c>
      <c r="D18" s="106">
        <f>(+D9)-D16</f>
        <v>297.61999999999989</v>
      </c>
      <c r="E18" s="106">
        <f t="shared" ref="E18:H18" si="4">(+E9)-E16</f>
        <v>3476.01</v>
      </c>
      <c r="F18" s="107">
        <f t="shared" si="4"/>
        <v>-398.44000000000233</v>
      </c>
      <c r="G18" s="106">
        <f t="shared" si="4"/>
        <v>3500</v>
      </c>
      <c r="H18" s="107">
        <f t="shared" si="4"/>
        <v>1470</v>
      </c>
    </row>
    <row r="19" spans="1:8" ht="13.5" thickTop="1" x14ac:dyDescent="0.2">
      <c r="A19" s="1" t="s">
        <v>8</v>
      </c>
    </row>
    <row r="20" spans="1:8" x14ac:dyDescent="0.2">
      <c r="A20" s="1" t="s">
        <v>8</v>
      </c>
      <c r="B20" s="103" t="s">
        <v>142</v>
      </c>
      <c r="C20" s="103"/>
      <c r="D20" s="103"/>
    </row>
    <row r="21" spans="1:8" x14ac:dyDescent="0.2">
      <c r="A21" s="1" t="s">
        <v>8</v>
      </c>
    </row>
    <row r="22" spans="1:8" x14ac:dyDescent="0.2">
      <c r="A22" s="1" t="s">
        <v>8</v>
      </c>
    </row>
    <row r="23" spans="1:8" x14ac:dyDescent="0.2">
      <c r="A23" s="1" t="s">
        <v>8</v>
      </c>
    </row>
    <row r="24" spans="1:8" x14ac:dyDescent="0.2">
      <c r="A24" s="1" t="s">
        <v>8</v>
      </c>
    </row>
    <row r="26" spans="1:8" x14ac:dyDescent="0.2">
      <c r="A26" s="1" t="s">
        <v>8</v>
      </c>
    </row>
  </sheetData>
  <mergeCells count="1">
    <mergeCell ref="A18:B18"/>
  </mergeCells>
  <pageMargins left="0.74803149606299213" right="0.74803149606299213" top="0.625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Building Inspections
</oddHeader>
    <oddFooter>&amp;L&amp;P of &amp;N &amp;C&amp;R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A7BBF-4F75-43B3-A367-30AE69171945}">
  <dimension ref="A1:J36"/>
  <sheetViews>
    <sheetView topLeftCell="A4" zoomScale="150" zoomScaleNormal="150" zoomScalePageLayoutView="90" workbookViewId="0">
      <selection activeCell="G9" sqref="G9"/>
    </sheetView>
  </sheetViews>
  <sheetFormatPr defaultColWidth="8.85546875" defaultRowHeight="12.75" x14ac:dyDescent="0.2"/>
  <cols>
    <col min="1" max="1" width="13" style="1" customWidth="1"/>
    <col min="2" max="2" width="25.85546875" style="1" customWidth="1"/>
    <col min="3" max="3" width="7.5703125" style="1" bestFit="1" customWidth="1"/>
    <col min="4" max="5" width="8.140625" style="1" bestFit="1" customWidth="1"/>
    <col min="6" max="6" width="6.5703125" style="1" bestFit="1" customWidth="1"/>
    <col min="7" max="7" width="10.85546875" style="1" customWidth="1"/>
    <col min="8" max="8" width="7.5703125" style="1" bestFit="1" customWidth="1"/>
    <col min="9" max="9" width="11.7109375" style="1" bestFit="1" customWidth="1"/>
    <col min="10" max="16384" width="8.85546875" style="1"/>
  </cols>
  <sheetData>
    <row r="1" spans="1:8" x14ac:dyDescent="0.2">
      <c r="B1" s="71"/>
      <c r="C1" s="2">
        <v>2019</v>
      </c>
      <c r="D1" s="2">
        <v>2020</v>
      </c>
      <c r="E1" s="3">
        <v>2021</v>
      </c>
      <c r="F1" s="2">
        <v>2022</v>
      </c>
      <c r="G1" s="2">
        <v>2021</v>
      </c>
      <c r="H1" s="2">
        <v>2022</v>
      </c>
    </row>
    <row r="2" spans="1:8" x14ac:dyDescent="0.2">
      <c r="B2" s="2"/>
      <c r="C2" s="4" t="s">
        <v>0</v>
      </c>
      <c r="D2" s="5" t="s">
        <v>0</v>
      </c>
      <c r="E2" s="6" t="s">
        <v>0</v>
      </c>
      <c r="F2" s="5" t="s">
        <v>0</v>
      </c>
      <c r="G2" s="5" t="s">
        <v>1</v>
      </c>
      <c r="H2" s="5" t="s">
        <v>1</v>
      </c>
    </row>
    <row r="3" spans="1:8" x14ac:dyDescent="0.2">
      <c r="A3" s="35" t="s">
        <v>2</v>
      </c>
      <c r="B3" s="2"/>
      <c r="C3" s="108"/>
      <c r="D3" s="2"/>
      <c r="E3" s="3"/>
      <c r="F3" s="2"/>
      <c r="G3" s="2"/>
      <c r="H3" s="2"/>
    </row>
    <row r="4" spans="1:8" x14ac:dyDescent="0.2">
      <c r="A4" s="37" t="s">
        <v>25</v>
      </c>
      <c r="B4" s="2"/>
      <c r="C4" s="108"/>
      <c r="D4" s="2"/>
      <c r="E4" s="3"/>
      <c r="F4" s="2"/>
      <c r="G4" s="2"/>
      <c r="H4" s="2"/>
    </row>
    <row r="5" spans="1:8" x14ac:dyDescent="0.2">
      <c r="B5" s="1" t="s">
        <v>3</v>
      </c>
      <c r="C5" s="109">
        <v>0</v>
      </c>
      <c r="D5" s="110">
        <v>0</v>
      </c>
      <c r="E5" s="111">
        <v>0</v>
      </c>
      <c r="F5" s="110">
        <v>0</v>
      </c>
      <c r="G5" s="110">
        <v>0</v>
      </c>
      <c r="H5" s="110">
        <v>0</v>
      </c>
    </row>
    <row r="6" spans="1:8" x14ac:dyDescent="0.2">
      <c r="A6" s="39" t="s">
        <v>27</v>
      </c>
      <c r="C6" s="112">
        <f>SUM(C5)</f>
        <v>0</v>
      </c>
      <c r="D6" s="112">
        <f t="shared" ref="D6:H6" si="0">SUM(D5)</f>
        <v>0</v>
      </c>
      <c r="E6" s="48">
        <f t="shared" si="0"/>
        <v>0</v>
      </c>
      <c r="F6" s="112">
        <f t="shared" si="0"/>
        <v>0</v>
      </c>
      <c r="G6" s="112">
        <f t="shared" si="0"/>
        <v>0</v>
      </c>
      <c r="H6" s="112">
        <f t="shared" si="0"/>
        <v>0</v>
      </c>
    </row>
    <row r="7" spans="1:8" x14ac:dyDescent="0.2">
      <c r="A7" s="7"/>
      <c r="E7" s="8"/>
    </row>
    <row r="8" spans="1:8" x14ac:dyDescent="0.2">
      <c r="A8" s="45" t="s">
        <v>28</v>
      </c>
      <c r="E8" s="8"/>
    </row>
    <row r="9" spans="1:8" x14ac:dyDescent="0.2">
      <c r="A9" s="45" t="s">
        <v>143</v>
      </c>
      <c r="B9" s="1" t="str">
        <f>VLOOKUP(A9,'[1]SQL DATA'!$B:$J,3,FALSE)</f>
        <v>F&amp;C - Licenses - Business</v>
      </c>
      <c r="C9" s="20">
        <f>VLOOKUP(A9,'[1]SQL DATA'!$B:$K,10,FALSE)</f>
        <v>5110</v>
      </c>
      <c r="D9" s="20">
        <f>VLOOKUP(A9,'[1]SQL DATA'!$B:$J,9,FALSE)</f>
        <v>5255.55</v>
      </c>
      <c r="E9" s="16">
        <f>VLOOKUP(A9,'[1]SQL DATA'!$B:$J,7,FALSE)</f>
        <v>2489.6799999999998</v>
      </c>
      <c r="F9" s="15">
        <f>VLOOKUP(A9,'[1]SQL DATA'!$B:$J,6,FALSE)</f>
        <v>2155</v>
      </c>
      <c r="G9" s="113">
        <v>5250</v>
      </c>
      <c r="H9" s="113">
        <v>4280</v>
      </c>
    </row>
    <row r="10" spans="1:8" x14ac:dyDescent="0.2">
      <c r="A10" s="45" t="s">
        <v>144</v>
      </c>
      <c r="B10" s="1" t="str">
        <f>VLOOKUP(A10,'[1]SQL DATA'!$B:$J,3,FALSE)</f>
        <v>F&amp;C - Licenses - Intermunicipal Business</v>
      </c>
      <c r="C10" s="20">
        <f>VLOOKUP(A10,'[1]SQL DATA'!$B:$K,10,FALSE)</f>
        <v>250</v>
      </c>
      <c r="D10" s="20">
        <f>VLOOKUP(A10,'[1]SQL DATA'!$B:$J,9,FALSE)</f>
        <v>0</v>
      </c>
      <c r="E10" s="16">
        <f>VLOOKUP(A10,'[1]SQL DATA'!$B:$J,7,FALSE)</f>
        <v>1208.33</v>
      </c>
      <c r="F10" s="15">
        <f>VLOOKUP(A10,'[1]SQL DATA'!$B:$J,6,FALSE)</f>
        <v>1441.66</v>
      </c>
      <c r="G10" s="113">
        <v>500</v>
      </c>
      <c r="H10" s="113">
        <v>610</v>
      </c>
    </row>
    <row r="11" spans="1:8" x14ac:dyDescent="0.2">
      <c r="A11" s="45" t="s">
        <v>145</v>
      </c>
      <c r="B11" s="1" t="str">
        <f>VLOOKUP(A11,'[1]SQL DATA'!$B:$J,3,FALSE)</f>
        <v>F&amp;C - Licenses - Pets</v>
      </c>
      <c r="C11" s="20">
        <f>VLOOKUP(A11,'[1]SQL DATA'!$B:$K,10,FALSE)</f>
        <v>2715</v>
      </c>
      <c r="D11" s="20">
        <f>VLOOKUP(A11,'[1]SQL DATA'!$B:$J,9,FALSE)</f>
        <v>1325</v>
      </c>
      <c r="E11" s="16">
        <f>VLOOKUP(A11,'[1]SQL DATA'!$B:$J,7,FALSE)</f>
        <v>1530</v>
      </c>
      <c r="F11" s="15">
        <f>VLOOKUP(A11,'[1]SQL DATA'!$B:$J,6,FALSE)</f>
        <v>1200</v>
      </c>
      <c r="G11" s="113">
        <v>1300</v>
      </c>
      <c r="H11" s="113">
        <v>1860</v>
      </c>
    </row>
    <row r="12" spans="1:8" x14ac:dyDescent="0.2">
      <c r="A12" s="9" t="s">
        <v>42</v>
      </c>
      <c r="B12" s="82"/>
      <c r="C12" s="59">
        <f t="shared" ref="C12:H12" si="1">SUM(C9:C11)</f>
        <v>8075</v>
      </c>
      <c r="D12" s="59">
        <f t="shared" si="1"/>
        <v>6580.55</v>
      </c>
      <c r="E12" s="48">
        <f t="shared" si="1"/>
        <v>5228.01</v>
      </c>
      <c r="F12" s="47">
        <f t="shared" si="1"/>
        <v>4796.66</v>
      </c>
      <c r="G12" s="59">
        <f t="shared" si="1"/>
        <v>7050</v>
      </c>
      <c r="H12" s="59">
        <f t="shared" si="1"/>
        <v>6750</v>
      </c>
    </row>
    <row r="13" spans="1:8" x14ac:dyDescent="0.2">
      <c r="B13" s="14"/>
      <c r="C13" s="73"/>
      <c r="D13" s="73"/>
      <c r="E13" s="50"/>
      <c r="F13" s="49"/>
      <c r="G13" s="73"/>
      <c r="H13" s="73"/>
    </row>
    <row r="14" spans="1:8" x14ac:dyDescent="0.2">
      <c r="A14" s="51" t="s">
        <v>7</v>
      </c>
      <c r="B14" s="105"/>
      <c r="C14" s="30">
        <f t="shared" ref="C14:H14" si="2">C6+C12</f>
        <v>8075</v>
      </c>
      <c r="D14" s="30">
        <f t="shared" si="2"/>
        <v>6580.55</v>
      </c>
      <c r="E14" s="19">
        <f t="shared" si="2"/>
        <v>5228.01</v>
      </c>
      <c r="F14" s="30">
        <f t="shared" si="2"/>
        <v>4796.66</v>
      </c>
      <c r="G14" s="30">
        <f t="shared" si="2"/>
        <v>7050</v>
      </c>
      <c r="H14" s="30">
        <f t="shared" si="2"/>
        <v>6750</v>
      </c>
    </row>
    <row r="15" spans="1:8" x14ac:dyDescent="0.2">
      <c r="A15" s="1" t="s">
        <v>8</v>
      </c>
      <c r="B15" s="14"/>
      <c r="C15" s="14"/>
      <c r="D15" s="73"/>
      <c r="E15" s="50"/>
      <c r="F15" s="49"/>
      <c r="G15" s="73"/>
      <c r="H15" s="73"/>
    </row>
    <row r="16" spans="1:8" x14ac:dyDescent="0.2">
      <c r="A16" s="7" t="s">
        <v>9</v>
      </c>
      <c r="D16" s="20"/>
      <c r="E16" s="16"/>
      <c r="F16" s="15"/>
      <c r="G16" s="20"/>
      <c r="H16" s="20"/>
    </row>
    <row r="17" spans="1:8" x14ac:dyDescent="0.2">
      <c r="A17" s="45" t="s">
        <v>51</v>
      </c>
      <c r="D17" s="20"/>
      <c r="E17" s="16"/>
      <c r="F17" s="15"/>
      <c r="G17" s="20"/>
      <c r="H17" s="20"/>
    </row>
    <row r="18" spans="1:8" x14ac:dyDescent="0.2">
      <c r="A18" s="45" t="s">
        <v>146</v>
      </c>
      <c r="B18" s="1" t="str">
        <f>VLOOKUP(A18,'[1]SQL DATA'!$B:$J,3,FALSE)</f>
        <v>PS - Bylaw Enforcement - Salaries</v>
      </c>
      <c r="C18" s="20">
        <f>VLOOKUP(A18,'[1]SQL DATA'!$B:$K,10,FALSE)</f>
        <v>0</v>
      </c>
      <c r="D18" s="20">
        <f>VLOOKUP(A18,'[1]SQL DATA'!$B:$J,9,FALSE)</f>
        <v>23.16</v>
      </c>
      <c r="E18" s="16">
        <f>VLOOKUP(A18,'[1]SQL DATA'!$B:$J,7,FALSE)</f>
        <v>4350</v>
      </c>
      <c r="F18" s="15">
        <f>VLOOKUP(A18,'[1]SQL DATA'!$B:$J,6,FALSE)</f>
        <v>0</v>
      </c>
      <c r="G18" s="113">
        <v>4350</v>
      </c>
      <c r="H18" s="114">
        <v>0</v>
      </c>
    </row>
    <row r="19" spans="1:8" x14ac:dyDescent="0.2">
      <c r="A19" s="45" t="s">
        <v>147</v>
      </c>
      <c r="B19" s="1" t="str">
        <f>VLOOKUP(A19,'[1]SQL DATA'!$B:$J,3,FALSE)</f>
        <v>PS - Bylaw Enforcement - Benefits</v>
      </c>
      <c r="C19" s="20">
        <f>VLOOKUP(A19,'[1]SQL DATA'!$B:$K,10,FALSE)</f>
        <v>0</v>
      </c>
      <c r="D19" s="83">
        <f>VLOOKUP(A19,'[1]SQL DATA'!$B:$J,9,FALSE)</f>
        <v>5.29</v>
      </c>
      <c r="E19" s="85">
        <f>VLOOKUP(A19,'[1]SQL DATA'!$B:$J,7,FALSE)</f>
        <v>560</v>
      </c>
      <c r="F19" s="84">
        <f>VLOOKUP(A19,'[1]SQL DATA'!$B:$J,6,FALSE)</f>
        <v>0</v>
      </c>
      <c r="G19" s="115">
        <v>560</v>
      </c>
      <c r="H19" s="116">
        <v>0</v>
      </c>
    </row>
    <row r="20" spans="1:8" x14ac:dyDescent="0.2">
      <c r="A20" s="9" t="s">
        <v>58</v>
      </c>
      <c r="B20" s="82"/>
      <c r="C20" s="92">
        <f>SUM(C18:C19)</f>
        <v>0</v>
      </c>
      <c r="D20" s="20">
        <f>SUM(D18:D19)</f>
        <v>28.45</v>
      </c>
      <c r="E20" s="16">
        <f>SUM(E18:E19)</f>
        <v>4910</v>
      </c>
      <c r="F20" s="15">
        <f>SUM(F18:F19)</f>
        <v>0</v>
      </c>
      <c r="G20" s="20">
        <f t="shared" ref="G20:H20" si="3">SUM(G18:G19)</f>
        <v>4910</v>
      </c>
      <c r="H20" s="15">
        <f t="shared" si="3"/>
        <v>0</v>
      </c>
    </row>
    <row r="21" spans="1:8" x14ac:dyDescent="0.2">
      <c r="A21" s="1" t="s">
        <v>8</v>
      </c>
      <c r="D21" s="20"/>
      <c r="E21" s="16"/>
      <c r="F21" s="15"/>
      <c r="G21" s="20"/>
      <c r="H21" s="15"/>
    </row>
    <row r="22" spans="1:8" x14ac:dyDescent="0.2">
      <c r="A22" s="45" t="s">
        <v>59</v>
      </c>
      <c r="D22" s="20"/>
      <c r="E22" s="16"/>
      <c r="F22" s="15"/>
      <c r="G22" s="20"/>
      <c r="H22" s="15"/>
    </row>
    <row r="23" spans="1:8" x14ac:dyDescent="0.2">
      <c r="A23" s="45" t="s">
        <v>148</v>
      </c>
      <c r="B23" s="1" t="str">
        <f>VLOOKUP(A23,'[1]SQL DATA'!$B:$J,3,FALSE)</f>
        <v>PS - Bylaw Contracted Services</v>
      </c>
      <c r="C23" s="20">
        <f>VLOOKUP(A23,'[1]SQL DATA'!$B:$K,10,FALSE)</f>
        <v>10400</v>
      </c>
      <c r="D23" s="20">
        <f>VLOOKUP(A23,'[1]SQL DATA'!$B:$J,9,FALSE)</f>
        <v>20700</v>
      </c>
      <c r="E23" s="16">
        <f>VLOOKUP(A23,'[1]SQL DATA'!$B:$J,7,FALSE)</f>
        <v>7050</v>
      </c>
      <c r="F23" s="15">
        <f>VLOOKUP(A23,'[1]SQL DATA'!$B:$J,6,FALSE)</f>
        <v>641</v>
      </c>
      <c r="G23" s="113">
        <v>6000</v>
      </c>
      <c r="H23" s="114">
        <v>0</v>
      </c>
    </row>
    <row r="24" spans="1:8" x14ac:dyDescent="0.2">
      <c r="A24" s="45" t="s">
        <v>149</v>
      </c>
      <c r="B24" s="1" t="str">
        <f>VLOOKUP(A24,'[1]SQL DATA'!$B:$J,3,FALSE)</f>
        <v>PS - Bylaw Enforcement - Other</v>
      </c>
      <c r="C24" s="20">
        <f>VLOOKUP(A24,'[1]SQL DATA'!$B:$K,10,FALSE)</f>
        <v>1453.55</v>
      </c>
      <c r="D24" s="20">
        <f>VLOOKUP(A24,'[1]SQL DATA'!$B:$J,9,FALSE)</f>
        <v>1894.61</v>
      </c>
      <c r="E24" s="16">
        <f>VLOOKUP(A24,'[1]SQL DATA'!$B:$J,7,FALSE)</f>
        <v>3538.44</v>
      </c>
      <c r="F24" s="15">
        <f>VLOOKUP(A24,'[1]SQL DATA'!$B:$J,6,FALSE)</f>
        <v>250.84</v>
      </c>
      <c r="G24" s="113">
        <v>2000</v>
      </c>
      <c r="H24" s="117">
        <v>0</v>
      </c>
    </row>
    <row r="25" spans="1:8" x14ac:dyDescent="0.2">
      <c r="A25" s="9" t="s">
        <v>66</v>
      </c>
      <c r="B25" s="82"/>
      <c r="C25" s="92">
        <f t="shared" ref="C25:H25" si="4">SUM(C23:C24)</f>
        <v>11853.55</v>
      </c>
      <c r="D25" s="92">
        <f t="shared" si="4"/>
        <v>22594.61</v>
      </c>
      <c r="E25" s="91">
        <f t="shared" si="4"/>
        <v>10588.44</v>
      </c>
      <c r="F25" s="90">
        <f t="shared" si="4"/>
        <v>891.84</v>
      </c>
      <c r="G25" s="92">
        <f t="shared" si="4"/>
        <v>8000</v>
      </c>
      <c r="H25" s="90">
        <f t="shared" si="4"/>
        <v>0</v>
      </c>
    </row>
    <row r="26" spans="1:8" x14ac:dyDescent="0.2">
      <c r="A26" s="1" t="s">
        <v>8</v>
      </c>
      <c r="D26" s="20"/>
      <c r="E26" s="16"/>
      <c r="F26" s="15"/>
      <c r="G26" s="20"/>
      <c r="H26" s="15"/>
    </row>
    <row r="27" spans="1:8" x14ac:dyDescent="0.2">
      <c r="A27" s="45" t="s">
        <v>111</v>
      </c>
      <c r="D27" s="20"/>
      <c r="E27" s="16"/>
      <c r="F27" s="15"/>
      <c r="G27" s="20"/>
      <c r="H27" s="15"/>
    </row>
    <row r="28" spans="1:8" x14ac:dyDescent="0.2">
      <c r="A28" s="45" t="s">
        <v>150</v>
      </c>
      <c r="B28" s="1" t="str">
        <f>VLOOKUP(A28,'[1]SQL DATA'!$B:$J,3,FALSE)</f>
        <v>PS - Materials &amp; Supplies</v>
      </c>
      <c r="C28" s="20">
        <f>VLOOKUP(A28,'[1]SQL DATA'!$B:$K,10,FALSE)</f>
        <v>102.85</v>
      </c>
      <c r="D28" s="20">
        <f>VLOOKUP(A28,'[1]SQL DATA'!$B:$J,9,FALSE)</f>
        <v>89.72</v>
      </c>
      <c r="E28" s="16">
        <f>VLOOKUP(A28,'[1]SQL DATA'!$B:$J,7,FALSE)</f>
        <v>0</v>
      </c>
      <c r="F28" s="15">
        <f>VLOOKUP(A28,'[1]SQL DATA'!$B:$J,6,FALSE)</f>
        <v>97.64</v>
      </c>
      <c r="G28" s="113">
        <v>1100</v>
      </c>
      <c r="H28" s="117">
        <v>0</v>
      </c>
    </row>
    <row r="29" spans="1:8" x14ac:dyDescent="0.2">
      <c r="A29" s="9" t="s">
        <v>85</v>
      </c>
      <c r="B29" s="82"/>
      <c r="C29" s="92">
        <f t="shared" ref="C29:H29" si="5">+C28</f>
        <v>102.85</v>
      </c>
      <c r="D29" s="92">
        <f t="shared" si="5"/>
        <v>89.72</v>
      </c>
      <c r="E29" s="91">
        <f t="shared" si="5"/>
        <v>0</v>
      </c>
      <c r="F29" s="90">
        <f t="shared" si="5"/>
        <v>97.64</v>
      </c>
      <c r="G29" s="92">
        <f t="shared" si="5"/>
        <v>1100</v>
      </c>
      <c r="H29" s="92">
        <f t="shared" si="5"/>
        <v>0</v>
      </c>
    </row>
    <row r="30" spans="1:8" x14ac:dyDescent="0.2">
      <c r="A30" s="9"/>
      <c r="B30" s="82"/>
      <c r="C30" s="73"/>
      <c r="D30" s="73"/>
      <c r="E30" s="50"/>
      <c r="F30" s="49"/>
      <c r="G30" s="73"/>
      <c r="H30" s="73"/>
    </row>
    <row r="31" spans="1:8" x14ac:dyDescent="0.2">
      <c r="A31" s="51" t="s">
        <v>21</v>
      </c>
      <c r="B31" s="105"/>
      <c r="C31" s="30">
        <f t="shared" ref="C31:H31" si="6">+C29+C25+C20</f>
        <v>11956.4</v>
      </c>
      <c r="D31" s="30">
        <f t="shared" si="6"/>
        <v>22712.780000000002</v>
      </c>
      <c r="E31" s="19">
        <f t="shared" si="6"/>
        <v>15498.44</v>
      </c>
      <c r="F31" s="18">
        <f t="shared" si="6"/>
        <v>989.48</v>
      </c>
      <c r="G31" s="30">
        <f t="shared" si="6"/>
        <v>14010</v>
      </c>
      <c r="H31" s="30">
        <f t="shared" si="6"/>
        <v>0</v>
      </c>
    </row>
    <row r="32" spans="1:8" x14ac:dyDescent="0.2">
      <c r="A32" s="1" t="s">
        <v>8</v>
      </c>
      <c r="C32" s="73"/>
      <c r="D32" s="73"/>
      <c r="E32" s="50"/>
      <c r="F32" s="49"/>
      <c r="G32" s="73"/>
      <c r="H32" s="73"/>
    </row>
    <row r="33" spans="1:10" ht="15.75" customHeight="1" thickBot="1" x14ac:dyDescent="0.25">
      <c r="A33" s="74" t="s">
        <v>22</v>
      </c>
      <c r="B33" s="74"/>
      <c r="C33" s="118">
        <f t="shared" ref="C33:H33" si="7">(+C14)-C31</f>
        <v>-3881.3999999999996</v>
      </c>
      <c r="D33" s="118">
        <f t="shared" si="7"/>
        <v>-16132.230000000003</v>
      </c>
      <c r="E33" s="70">
        <f t="shared" si="7"/>
        <v>-10270.43</v>
      </c>
      <c r="F33" s="69">
        <f t="shared" si="7"/>
        <v>3807.18</v>
      </c>
      <c r="G33" s="118">
        <f t="shared" si="7"/>
        <v>-6960</v>
      </c>
      <c r="H33" s="118">
        <f t="shared" si="7"/>
        <v>6750</v>
      </c>
      <c r="I33" s="24"/>
      <c r="J33" s="14"/>
    </row>
    <row r="34" spans="1:10" ht="13.5" thickTop="1" x14ac:dyDescent="0.2">
      <c r="A34" s="1" t="s">
        <v>8</v>
      </c>
    </row>
    <row r="35" spans="1:10" x14ac:dyDescent="0.2">
      <c r="A35" s="1" t="s">
        <v>8</v>
      </c>
      <c r="B35" s="103" t="s">
        <v>142</v>
      </c>
      <c r="C35" s="103"/>
    </row>
    <row r="36" spans="1:10" x14ac:dyDescent="0.2">
      <c r="A36" s="1" t="s">
        <v>8</v>
      </c>
    </row>
  </sheetData>
  <mergeCells count="1">
    <mergeCell ref="A33:B33"/>
  </mergeCells>
  <pageMargins left="0.74803149606299213" right="0.74803149606299213" top="0.74803149606299213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Bylaw Enforcement
</oddHeader>
    <oddFooter>&amp;L&amp;P of &amp;N &amp;C&amp;R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ACDAE-5FF5-451C-AF0A-76ACC807A169}">
  <dimension ref="A1:H58"/>
  <sheetViews>
    <sheetView topLeftCell="A25" zoomScale="150" zoomScaleNormal="150" zoomScalePageLayoutView="90" workbookViewId="0">
      <selection activeCell="G9" sqref="G9"/>
    </sheetView>
  </sheetViews>
  <sheetFormatPr defaultColWidth="8.85546875" defaultRowHeight="12.75" x14ac:dyDescent="0.2"/>
  <cols>
    <col min="1" max="1" width="12.7109375" style="1" customWidth="1"/>
    <col min="2" max="2" width="22.85546875" style="1" customWidth="1"/>
    <col min="3" max="3" width="8.5703125" style="1" bestFit="1" customWidth="1"/>
    <col min="4" max="7" width="9.140625" style="1" bestFit="1" customWidth="1"/>
    <col min="8" max="8" width="9.7109375" style="1" customWidth="1"/>
    <col min="9" max="16384" width="8.85546875" style="1"/>
  </cols>
  <sheetData>
    <row r="1" spans="1:8" x14ac:dyDescent="0.2">
      <c r="B1" s="71"/>
      <c r="C1" s="2">
        <v>2019</v>
      </c>
      <c r="D1" s="2">
        <v>2020</v>
      </c>
      <c r="E1" s="3">
        <v>2021</v>
      </c>
      <c r="F1" s="2">
        <v>2022</v>
      </c>
      <c r="G1" s="2">
        <v>2021</v>
      </c>
      <c r="H1" s="2">
        <v>2022</v>
      </c>
    </row>
    <row r="2" spans="1:8" x14ac:dyDescent="0.2">
      <c r="B2" s="2"/>
      <c r="C2" s="4" t="s">
        <v>0</v>
      </c>
      <c r="D2" s="5" t="s">
        <v>0</v>
      </c>
      <c r="E2" s="6" t="s">
        <v>0</v>
      </c>
      <c r="F2" s="5" t="s">
        <v>0</v>
      </c>
      <c r="G2" s="5" t="s">
        <v>1</v>
      </c>
      <c r="H2" s="5" t="s">
        <v>1</v>
      </c>
    </row>
    <row r="3" spans="1:8" x14ac:dyDescent="0.2">
      <c r="A3" s="35" t="s">
        <v>2</v>
      </c>
      <c r="B3" s="2"/>
      <c r="C3" s="108"/>
      <c r="D3" s="2"/>
      <c r="E3" s="3"/>
      <c r="F3" s="2"/>
      <c r="G3" s="2"/>
      <c r="H3" s="2"/>
    </row>
    <row r="4" spans="1:8" x14ac:dyDescent="0.2">
      <c r="A4" s="37" t="s">
        <v>25</v>
      </c>
      <c r="B4" s="2"/>
      <c r="C4" s="108"/>
      <c r="D4" s="2"/>
      <c r="E4" s="3"/>
      <c r="F4" s="2"/>
      <c r="G4" s="2"/>
      <c r="H4" s="2"/>
    </row>
    <row r="5" spans="1:8" x14ac:dyDescent="0.2">
      <c r="A5" s="1" t="s">
        <v>151</v>
      </c>
      <c r="B5" s="1" t="str">
        <f>VLOOKUP(A5,'[1]SQL DATA'!$B:$J,3,FALSE)</f>
        <v>Transfer from Reserves - PS</v>
      </c>
      <c r="C5" s="109">
        <v>0</v>
      </c>
      <c r="D5" s="110">
        <v>0</v>
      </c>
      <c r="E5" s="111">
        <v>0</v>
      </c>
      <c r="F5" s="110">
        <v>0</v>
      </c>
      <c r="G5" s="110">
        <v>0</v>
      </c>
      <c r="H5" s="110">
        <v>0</v>
      </c>
    </row>
    <row r="6" spans="1:8" x14ac:dyDescent="0.2">
      <c r="A6" s="39" t="s">
        <v>27</v>
      </c>
      <c r="B6" s="2"/>
      <c r="C6" s="119">
        <f>SUM(C5)</f>
        <v>0</v>
      </c>
      <c r="D6" s="119">
        <f t="shared" ref="D6:H6" si="0">SUM(D5)</f>
        <v>0</v>
      </c>
      <c r="E6" s="120">
        <f t="shared" si="0"/>
        <v>0</v>
      </c>
      <c r="F6" s="119">
        <f t="shared" si="0"/>
        <v>0</v>
      </c>
      <c r="G6" s="119">
        <f t="shared" si="0"/>
        <v>0</v>
      </c>
      <c r="H6" s="119">
        <f t="shared" si="0"/>
        <v>0</v>
      </c>
    </row>
    <row r="7" spans="1:8" x14ac:dyDescent="0.2">
      <c r="B7" s="2"/>
      <c r="C7" s="108"/>
      <c r="D7" s="2"/>
      <c r="E7" s="3"/>
      <c r="F7" s="2"/>
      <c r="G7" s="2"/>
      <c r="H7" s="2"/>
    </row>
    <row r="8" spans="1:8" x14ac:dyDescent="0.2">
      <c r="A8" s="7" t="s">
        <v>2</v>
      </c>
      <c r="E8" s="8"/>
    </row>
    <row r="9" spans="1:8" x14ac:dyDescent="0.2">
      <c r="A9" s="45" t="s">
        <v>28</v>
      </c>
      <c r="E9" s="8"/>
    </row>
    <row r="10" spans="1:8" x14ac:dyDescent="0.2">
      <c r="A10" s="45" t="s">
        <v>152</v>
      </c>
      <c r="B10" s="1" t="str">
        <f>VLOOKUP(A10,'[1]SQL DATA'!$B:$J,3,FALSE)</f>
        <v>F&amp;C - Criminal Record Check Fees</v>
      </c>
      <c r="C10" s="20">
        <f>VLOOKUP(A10,'[1]SQL DATA'!$B:$K,10,FALSE)</f>
        <v>2320</v>
      </c>
      <c r="D10" s="20">
        <f>VLOOKUP(A10,'[1]SQL DATA'!$B:$J,9,FALSE)</f>
        <v>540</v>
      </c>
      <c r="E10" s="16">
        <f>VLOOKUP(A10,'[1]SQL DATA'!$B:$J,7,FALSE)</f>
        <v>0</v>
      </c>
      <c r="F10" s="15">
        <f>VLOOKUP(A10,'[1]SQL DATA'!$B:$J,6,FALSE)</f>
        <v>0</v>
      </c>
      <c r="G10" s="121">
        <v>0</v>
      </c>
      <c r="H10" s="121">
        <v>0</v>
      </c>
    </row>
    <row r="11" spans="1:8" x14ac:dyDescent="0.2">
      <c r="A11" s="45" t="s">
        <v>153</v>
      </c>
      <c r="B11" s="1" t="str">
        <f>VLOOKUP(A11,'[1]SQL DATA'!$B:$J,3,FALSE)</f>
        <v>F&amp;C - Policing Fees - Fines</v>
      </c>
      <c r="C11" s="20">
        <f>VLOOKUP(A11,'[1]SQL DATA'!$B:$K,10,FALSE)</f>
        <v>9513.5400000000009</v>
      </c>
      <c r="D11" s="20">
        <f>VLOOKUP(A11,'[1]SQL DATA'!$B:$J,9,FALSE)</f>
        <v>11342.41</v>
      </c>
      <c r="E11" s="16">
        <f>VLOOKUP(A11,'[1]SQL DATA'!$B:$J,7,FALSE)</f>
        <v>9107.56</v>
      </c>
      <c r="F11" s="15">
        <f>VLOOKUP(A11,'[1]SQL DATA'!$B:$J,6,FALSE)</f>
        <v>5198.22</v>
      </c>
      <c r="G11" s="121">
        <v>10000</v>
      </c>
      <c r="H11" s="121">
        <v>10000</v>
      </c>
    </row>
    <row r="12" spans="1:8" x14ac:dyDescent="0.2">
      <c r="A12" s="45" t="s">
        <v>154</v>
      </c>
      <c r="B12" s="1" t="str">
        <f>VLOOKUP(A12,'[1]SQL DATA'!$B:$J,3,FALSE)</f>
        <v>F&amp;C CSO Fees Recoverable</v>
      </c>
      <c r="C12" s="20">
        <f>VLOOKUP(A12,'[1]SQL DATA'!$B:$K,10,FALSE)</f>
        <v>0</v>
      </c>
      <c r="D12" s="20">
        <f>VLOOKUP(A12,'[1]SQL DATA'!$B:$J,9,FALSE)</f>
        <v>0</v>
      </c>
      <c r="E12" s="16"/>
      <c r="F12" s="15">
        <f>VLOOKUP(A12,'[1]SQL DATA'!$B:$J,6,FALSE)</f>
        <v>0</v>
      </c>
      <c r="G12" s="121">
        <v>0</v>
      </c>
      <c r="H12" s="122">
        <f>2000+26000</f>
        <v>28000</v>
      </c>
    </row>
    <row r="13" spans="1:8" x14ac:dyDescent="0.2">
      <c r="A13" s="45" t="s">
        <v>155</v>
      </c>
      <c r="B13" s="1" t="str">
        <f>VLOOKUP(A13,'[1]SQL DATA'!$B:$J,3,FALSE)</f>
        <v>F&amp;C - Bylaw Enforcement Fees</v>
      </c>
      <c r="C13" s="20">
        <f>VLOOKUP(A13,'[1]SQL DATA'!$B:$K,10,FALSE)</f>
        <v>905</v>
      </c>
      <c r="D13" s="20">
        <f>VLOOKUP(A13,'[1]SQL DATA'!$B:$J,9,FALSE)</f>
        <v>4858.2</v>
      </c>
      <c r="E13" s="16"/>
      <c r="F13" s="15">
        <f>VLOOKUP(A13,'[1]SQL DATA'!$B:$J,6,FALSE)</f>
        <v>6641</v>
      </c>
      <c r="G13" s="121">
        <v>1000</v>
      </c>
      <c r="H13" s="122">
        <v>2330</v>
      </c>
    </row>
    <row r="14" spans="1:8" x14ac:dyDescent="0.2">
      <c r="A14" s="9" t="s">
        <v>42</v>
      </c>
      <c r="B14" s="105"/>
      <c r="C14" s="66">
        <f t="shared" ref="C14:G14" si="1">SUM(C10:C13)</f>
        <v>12738.54</v>
      </c>
      <c r="D14" s="66">
        <f t="shared" si="1"/>
        <v>16740.61</v>
      </c>
      <c r="E14" s="68">
        <f t="shared" si="1"/>
        <v>9107.56</v>
      </c>
      <c r="F14" s="66">
        <f t="shared" si="1"/>
        <v>11839.220000000001</v>
      </c>
      <c r="G14" s="66">
        <f t="shared" si="1"/>
        <v>11000</v>
      </c>
      <c r="H14" s="67">
        <f>SUM(H10:H13)</f>
        <v>40330</v>
      </c>
    </row>
    <row r="15" spans="1:8" x14ac:dyDescent="0.2">
      <c r="D15" s="73"/>
      <c r="E15" s="50"/>
      <c r="F15" s="49"/>
      <c r="G15" s="73"/>
      <c r="H15" s="49"/>
    </row>
    <row r="16" spans="1:8" x14ac:dyDescent="0.2">
      <c r="A16" s="51" t="s">
        <v>7</v>
      </c>
      <c r="B16" s="105"/>
      <c r="C16" s="30">
        <f>C6+C14</f>
        <v>12738.54</v>
      </c>
      <c r="D16" s="30">
        <f t="shared" ref="D16:H16" si="2">D6+D14</f>
        <v>16740.61</v>
      </c>
      <c r="E16" s="19">
        <f t="shared" si="2"/>
        <v>9107.56</v>
      </c>
      <c r="F16" s="30">
        <f t="shared" si="2"/>
        <v>11839.220000000001</v>
      </c>
      <c r="G16" s="30">
        <f t="shared" si="2"/>
        <v>11000</v>
      </c>
      <c r="H16" s="18">
        <f t="shared" si="2"/>
        <v>40330</v>
      </c>
    </row>
    <row r="17" spans="1:8" x14ac:dyDescent="0.2">
      <c r="A17" s="1" t="s">
        <v>8</v>
      </c>
      <c r="D17" s="73"/>
      <c r="E17" s="50"/>
      <c r="F17" s="49"/>
      <c r="G17" s="73"/>
      <c r="H17" s="49"/>
    </row>
    <row r="18" spans="1:8" x14ac:dyDescent="0.2">
      <c r="A18" s="7" t="s">
        <v>9</v>
      </c>
      <c r="D18" s="73"/>
      <c r="E18" s="50"/>
      <c r="F18" s="49"/>
      <c r="G18" s="73"/>
      <c r="H18" s="49"/>
    </row>
    <row r="19" spans="1:8" x14ac:dyDescent="0.2">
      <c r="A19" s="45" t="s">
        <v>51</v>
      </c>
      <c r="D19" s="73"/>
      <c r="E19" s="50"/>
      <c r="F19" s="49"/>
      <c r="G19" s="73"/>
      <c r="H19" s="49"/>
    </row>
    <row r="20" spans="1:8" x14ac:dyDescent="0.2">
      <c r="A20" s="1" t="s">
        <v>156</v>
      </c>
      <c r="B20" s="1" t="str">
        <f>VLOOKUP(A20,'[1]SQL DATA'!$B:$J,3,FALSE)</f>
        <v>PS - CSO - Salaries</v>
      </c>
      <c r="C20" s="81">
        <v>0</v>
      </c>
      <c r="D20" s="73">
        <v>0</v>
      </c>
      <c r="E20" s="50">
        <v>0</v>
      </c>
      <c r="F20" s="49">
        <v>0</v>
      </c>
      <c r="G20" s="73">
        <v>0</v>
      </c>
      <c r="H20" s="49">
        <f>10000+4350+20000</f>
        <v>34350</v>
      </c>
    </row>
    <row r="21" spans="1:8" x14ac:dyDescent="0.2">
      <c r="A21" s="1" t="s">
        <v>157</v>
      </c>
      <c r="B21" s="1" t="str">
        <f>VLOOKUP(A21,'[1]SQL DATA'!$B:$J,3,FALSE)</f>
        <v>PS - CSO - Benefits</v>
      </c>
      <c r="C21" s="81">
        <v>0</v>
      </c>
      <c r="D21" s="73">
        <v>0</v>
      </c>
      <c r="E21" s="50">
        <v>0</v>
      </c>
      <c r="F21" s="49">
        <v>0</v>
      </c>
      <c r="G21" s="73">
        <v>0</v>
      </c>
      <c r="H21" s="49">
        <f>600+560+4400</f>
        <v>5560</v>
      </c>
    </row>
    <row r="22" spans="1:8" x14ac:dyDescent="0.2">
      <c r="A22" s="55" t="s">
        <v>58</v>
      </c>
      <c r="C22" s="123">
        <f>SUM(C20:C21)</f>
        <v>0</v>
      </c>
      <c r="D22" s="123">
        <f t="shared" ref="D22:H22" si="3">SUM(D20:D21)</f>
        <v>0</v>
      </c>
      <c r="E22" s="124">
        <f t="shared" si="3"/>
        <v>0</v>
      </c>
      <c r="F22" s="123">
        <f t="shared" si="3"/>
        <v>0</v>
      </c>
      <c r="G22" s="123">
        <f t="shared" si="3"/>
        <v>0</v>
      </c>
      <c r="H22" s="123">
        <f t="shared" si="3"/>
        <v>39910</v>
      </c>
    </row>
    <row r="23" spans="1:8" x14ac:dyDescent="0.2">
      <c r="D23" s="73"/>
      <c r="E23" s="50"/>
      <c r="F23" s="49"/>
      <c r="G23" s="73"/>
      <c r="H23" s="49"/>
    </row>
    <row r="24" spans="1:8" x14ac:dyDescent="0.2">
      <c r="A24" s="45" t="s">
        <v>59</v>
      </c>
      <c r="D24" s="73"/>
      <c r="E24" s="50"/>
      <c r="F24" s="49"/>
      <c r="G24" s="73"/>
      <c r="H24" s="49"/>
    </row>
    <row r="25" spans="1:8" x14ac:dyDescent="0.2">
      <c r="A25" s="45" t="s">
        <v>158</v>
      </c>
      <c r="B25" s="1" t="str">
        <f>VLOOKUP(A25,'[1]SQL DATA'!$B:$J,3,FALSE)</f>
        <v>PS - Police - Other</v>
      </c>
      <c r="C25" s="20">
        <f>VLOOKUP(A25,'[1]SQL DATA'!$B:$K,10,FALSE)</f>
        <v>108520.69</v>
      </c>
      <c r="D25" s="20">
        <f>VLOOKUP(A25,'[1]SQL DATA'!$B:$J,9,FALSE)</f>
        <v>112428.05</v>
      </c>
      <c r="E25" s="16">
        <f>VLOOKUP(A25,'[1]SQL DATA'!$B:$J,7,FALSE)</f>
        <v>115445.33</v>
      </c>
      <c r="F25" s="15">
        <f>VLOOKUP(A25,'[1]SQL DATA'!$B:$J,6,FALSE)</f>
        <v>129794.6</v>
      </c>
      <c r="G25" s="121">
        <v>113500</v>
      </c>
      <c r="H25" s="122">
        <v>120000</v>
      </c>
    </row>
    <row r="26" spans="1:8" x14ac:dyDescent="0.2">
      <c r="A26" s="9" t="s">
        <v>66</v>
      </c>
      <c r="B26" s="125"/>
      <c r="C26" s="126">
        <f>+C25</f>
        <v>108520.69</v>
      </c>
      <c r="D26" s="126">
        <f>+D25</f>
        <v>112428.05</v>
      </c>
      <c r="E26" s="127">
        <f t="shared" ref="E26:H26" si="4">+E25</f>
        <v>115445.33</v>
      </c>
      <c r="F26" s="128">
        <f t="shared" si="4"/>
        <v>129794.6</v>
      </c>
      <c r="G26" s="126">
        <f t="shared" si="4"/>
        <v>113500</v>
      </c>
      <c r="H26" s="128">
        <f t="shared" si="4"/>
        <v>120000</v>
      </c>
    </row>
    <row r="27" spans="1:8" x14ac:dyDescent="0.2">
      <c r="D27" s="73"/>
      <c r="E27" s="50"/>
      <c r="F27" s="49"/>
      <c r="G27" s="73"/>
      <c r="H27" s="49"/>
    </row>
    <row r="28" spans="1:8" x14ac:dyDescent="0.2">
      <c r="A28" s="34" t="s">
        <v>67</v>
      </c>
      <c r="D28" s="73"/>
      <c r="E28" s="50"/>
      <c r="F28" s="49"/>
      <c r="G28" s="73"/>
      <c r="H28" s="49"/>
    </row>
    <row r="29" spans="1:8" x14ac:dyDescent="0.2">
      <c r="A29" s="37" t="s">
        <v>159</v>
      </c>
      <c r="B29" s="1" t="str">
        <f>VLOOKUP(A29,'[1]SQL DATA'!$B:$J,3,FALSE)</f>
        <v>PS - Utility - Telephone</v>
      </c>
      <c r="C29" s="81">
        <v>0</v>
      </c>
      <c r="D29" s="73">
        <v>0</v>
      </c>
      <c r="E29" s="50">
        <v>0</v>
      </c>
      <c r="F29" s="49">
        <v>0</v>
      </c>
      <c r="G29" s="73">
        <v>0</v>
      </c>
      <c r="H29" s="49">
        <v>500</v>
      </c>
    </row>
    <row r="30" spans="1:8" x14ac:dyDescent="0.2">
      <c r="A30" s="55" t="s">
        <v>72</v>
      </c>
      <c r="C30" s="129">
        <f>SUM(C29)</f>
        <v>0</v>
      </c>
      <c r="D30" s="129">
        <f t="shared" ref="D30:H30" si="5">SUM(D29)</f>
        <v>0</v>
      </c>
      <c r="E30" s="130">
        <f t="shared" si="5"/>
        <v>0</v>
      </c>
      <c r="F30" s="129">
        <f t="shared" si="5"/>
        <v>0</v>
      </c>
      <c r="G30" s="129">
        <f t="shared" si="5"/>
        <v>0</v>
      </c>
      <c r="H30" s="129">
        <f t="shared" si="5"/>
        <v>500</v>
      </c>
    </row>
    <row r="31" spans="1:8" x14ac:dyDescent="0.2">
      <c r="D31" s="73"/>
      <c r="E31" s="50"/>
      <c r="F31" s="49"/>
      <c r="G31" s="73"/>
      <c r="H31" s="49"/>
    </row>
    <row r="32" spans="1:8" x14ac:dyDescent="0.2">
      <c r="A32" s="45" t="s">
        <v>111</v>
      </c>
      <c r="D32" s="73"/>
      <c r="E32" s="50"/>
      <c r="F32" s="49"/>
      <c r="G32" s="73"/>
      <c r="H32" s="49"/>
    </row>
    <row r="33" spans="1:8" x14ac:dyDescent="0.2">
      <c r="A33" s="1" t="s">
        <v>150</v>
      </c>
      <c r="B33" s="1" t="str">
        <f>VLOOKUP(A33,'[1]SQL DATA'!$B:$J,3,FALSE)</f>
        <v>PS - Materials &amp; Supplies</v>
      </c>
      <c r="C33" s="81">
        <v>0</v>
      </c>
      <c r="D33" s="73">
        <v>0</v>
      </c>
      <c r="E33" s="50">
        <v>0</v>
      </c>
      <c r="F33" s="49">
        <v>0</v>
      </c>
      <c r="G33" s="73">
        <v>0</v>
      </c>
      <c r="H33" s="49">
        <f>28600+2800</f>
        <v>31400</v>
      </c>
    </row>
    <row r="34" spans="1:8" x14ac:dyDescent="0.2">
      <c r="A34" s="1" t="s">
        <v>160</v>
      </c>
      <c r="B34" s="1" t="str">
        <f>VLOOKUP(A34,'[1]SQL DATA'!$B:$J,3,FALSE)</f>
        <v>PS - Training</v>
      </c>
      <c r="C34" s="81">
        <v>0</v>
      </c>
      <c r="D34" s="73">
        <v>0</v>
      </c>
      <c r="E34" s="50">
        <v>0</v>
      </c>
      <c r="F34" s="49">
        <v>0</v>
      </c>
      <c r="G34" s="73">
        <v>0</v>
      </c>
      <c r="H34" s="49">
        <v>10000</v>
      </c>
    </row>
    <row r="35" spans="1:8" x14ac:dyDescent="0.2">
      <c r="A35" s="55" t="s">
        <v>85</v>
      </c>
      <c r="C35" s="131">
        <f>SUM(C33:C34)</f>
        <v>0</v>
      </c>
      <c r="D35" s="131">
        <f t="shared" ref="D35:H35" si="6">SUM(D33:D34)</f>
        <v>0</v>
      </c>
      <c r="E35" s="132">
        <f t="shared" si="6"/>
        <v>0</v>
      </c>
      <c r="F35" s="131">
        <f t="shared" si="6"/>
        <v>0</v>
      </c>
      <c r="G35" s="131">
        <f t="shared" si="6"/>
        <v>0</v>
      </c>
      <c r="H35" s="133">
        <f t="shared" si="6"/>
        <v>41400</v>
      </c>
    </row>
    <row r="36" spans="1:8" x14ac:dyDescent="0.2">
      <c r="A36" s="7"/>
      <c r="D36" s="73"/>
      <c r="E36" s="50"/>
      <c r="F36" s="49"/>
      <c r="G36" s="73"/>
      <c r="H36" s="49"/>
    </row>
    <row r="37" spans="1:8" x14ac:dyDescent="0.2">
      <c r="A37" s="34" t="s">
        <v>89</v>
      </c>
      <c r="B37" s="82"/>
      <c r="C37" s="73"/>
      <c r="D37" s="73"/>
      <c r="E37" s="50"/>
      <c r="F37" s="49"/>
      <c r="G37" s="73"/>
      <c r="H37" s="49"/>
    </row>
    <row r="38" spans="1:8" x14ac:dyDescent="0.2">
      <c r="A38" s="9" t="s">
        <v>161</v>
      </c>
      <c r="B38" s="1" t="str">
        <f>VLOOKUP(A38,'[1]SQL DATA'!$B:$J,3,FALSE)</f>
        <v>PS - Amortization Expense</v>
      </c>
      <c r="C38" s="73">
        <v>0</v>
      </c>
      <c r="D38" s="73">
        <v>0</v>
      </c>
      <c r="E38" s="50">
        <v>0</v>
      </c>
      <c r="F38" s="49">
        <v>0</v>
      </c>
      <c r="G38" s="73">
        <v>0</v>
      </c>
      <c r="H38" s="49">
        <v>0</v>
      </c>
    </row>
    <row r="39" spans="1:8" x14ac:dyDescent="0.2">
      <c r="A39" s="54" t="s">
        <v>91</v>
      </c>
      <c r="B39" s="82"/>
      <c r="C39" s="59">
        <f>SUM(C38)</f>
        <v>0</v>
      </c>
      <c r="D39" s="59">
        <f t="shared" ref="D39:H39" si="7">SUM(D38)</f>
        <v>0</v>
      </c>
      <c r="E39" s="48">
        <f t="shared" si="7"/>
        <v>0</v>
      </c>
      <c r="F39" s="59">
        <f t="shared" si="7"/>
        <v>0</v>
      </c>
      <c r="G39" s="59">
        <f t="shared" si="7"/>
        <v>0</v>
      </c>
      <c r="H39" s="47">
        <f t="shared" si="7"/>
        <v>0</v>
      </c>
    </row>
    <row r="40" spans="1:8" x14ac:dyDescent="0.2">
      <c r="A40" s="9"/>
      <c r="B40" s="82"/>
      <c r="C40" s="73"/>
      <c r="D40" s="73"/>
      <c r="E40" s="50"/>
      <c r="F40" s="49"/>
      <c r="G40" s="73"/>
      <c r="H40" s="49"/>
    </row>
    <row r="41" spans="1:8" x14ac:dyDescent="0.2">
      <c r="A41" s="42" t="s">
        <v>99</v>
      </c>
      <c r="B41" s="82"/>
      <c r="C41" s="73"/>
      <c r="D41" s="73"/>
      <c r="E41" s="50"/>
      <c r="F41" s="49"/>
      <c r="G41" s="73"/>
      <c r="H41" s="49"/>
    </row>
    <row r="42" spans="1:8" x14ac:dyDescent="0.2">
      <c r="A42" s="54" t="s">
        <v>162</v>
      </c>
      <c r="B42" s="1" t="str">
        <f>VLOOKUP(A42,'[1]SQL DATA'!$B:$J,3,FALSE)</f>
        <v>PS - Purchase of Capital Assets - Equip</v>
      </c>
      <c r="C42" s="73">
        <v>0</v>
      </c>
      <c r="D42" s="73">
        <v>0</v>
      </c>
      <c r="E42" s="50">
        <v>0</v>
      </c>
      <c r="F42" s="49">
        <v>0</v>
      </c>
      <c r="G42" s="73">
        <v>0</v>
      </c>
      <c r="H42" s="49">
        <v>62000</v>
      </c>
    </row>
    <row r="43" spans="1:8" x14ac:dyDescent="0.2">
      <c r="A43" s="55" t="s">
        <v>103</v>
      </c>
      <c r="B43" s="82"/>
      <c r="C43" s="59">
        <f>SUM(C42)</f>
        <v>0</v>
      </c>
      <c r="D43" s="59">
        <f t="shared" ref="D43:H43" si="8">SUM(D42)</f>
        <v>0</v>
      </c>
      <c r="E43" s="48">
        <f t="shared" si="8"/>
        <v>0</v>
      </c>
      <c r="F43" s="59">
        <f t="shared" si="8"/>
        <v>0</v>
      </c>
      <c r="G43" s="59">
        <f t="shared" si="8"/>
        <v>0</v>
      </c>
      <c r="H43" s="59">
        <f t="shared" si="8"/>
        <v>62000</v>
      </c>
    </row>
    <row r="44" spans="1:8" x14ac:dyDescent="0.2">
      <c r="A44" s="9"/>
      <c r="B44" s="82"/>
      <c r="C44" s="73"/>
      <c r="D44" s="73"/>
      <c r="E44" s="50"/>
      <c r="F44" s="49"/>
      <c r="G44" s="73"/>
      <c r="H44" s="73"/>
    </row>
    <row r="45" spans="1:8" x14ac:dyDescent="0.2">
      <c r="A45" s="42" t="s">
        <v>104</v>
      </c>
      <c r="B45" s="82"/>
      <c r="C45" s="73"/>
      <c r="D45" s="73"/>
      <c r="E45" s="50"/>
      <c r="F45" s="49"/>
      <c r="G45" s="73"/>
      <c r="H45" s="73"/>
    </row>
    <row r="46" spans="1:8" x14ac:dyDescent="0.2">
      <c r="A46" s="9" t="s">
        <v>163</v>
      </c>
      <c r="B46" s="1" t="str">
        <f>VLOOKUP(A46,'[1]SQL DATA'!$B:$J,3,FALSE)</f>
        <v>Transfer to Reserves - PS</v>
      </c>
      <c r="C46" s="73">
        <v>0</v>
      </c>
      <c r="D46" s="73">
        <v>0</v>
      </c>
      <c r="E46" s="50">
        <v>0</v>
      </c>
      <c r="F46" s="49">
        <v>0</v>
      </c>
      <c r="G46" s="73">
        <v>0</v>
      </c>
      <c r="H46" s="73">
        <v>0</v>
      </c>
    </row>
    <row r="47" spans="1:8" x14ac:dyDescent="0.2">
      <c r="A47" s="9"/>
      <c r="B47" s="82"/>
      <c r="C47" s="73"/>
      <c r="D47" s="73"/>
      <c r="E47" s="50"/>
      <c r="F47" s="49"/>
      <c r="G47" s="73"/>
      <c r="H47" s="73"/>
    </row>
    <row r="48" spans="1:8" x14ac:dyDescent="0.2">
      <c r="A48" s="51" t="s">
        <v>21</v>
      </c>
      <c r="B48" s="72"/>
      <c r="C48" s="30">
        <f>C22+C35+C26+C39+C43+C46</f>
        <v>108520.69</v>
      </c>
      <c r="D48" s="30">
        <f>D22+D35+D26+D39+D43+D46</f>
        <v>112428.05</v>
      </c>
      <c r="E48" s="19">
        <f>E22+E35+E26+E39+E43+E46</f>
        <v>115445.33</v>
      </c>
      <c r="F48" s="30">
        <f>F22+F35+F26+F39+F43+F46</f>
        <v>129794.6</v>
      </c>
      <c r="G48" s="30">
        <f>G22+G35+G26+G39+G43+G46</f>
        <v>113500</v>
      </c>
      <c r="H48" s="30">
        <f>H22+H35+H26+H30+H39+H43+H46</f>
        <v>263810</v>
      </c>
    </row>
    <row r="49" spans="1:8" x14ac:dyDescent="0.2">
      <c r="A49" s="51" t="s">
        <v>8</v>
      </c>
      <c r="C49" s="73"/>
      <c r="D49" s="73"/>
      <c r="E49" s="50"/>
      <c r="F49" s="49"/>
      <c r="G49" s="73"/>
      <c r="H49" s="73"/>
    </row>
    <row r="50" spans="1:8" ht="13.5" thickBot="1" x14ac:dyDescent="0.25">
      <c r="A50" s="74" t="s">
        <v>22</v>
      </c>
      <c r="B50" s="74"/>
      <c r="C50" s="106">
        <f t="shared" ref="C50:H50" si="9">(+C16)-C48</f>
        <v>-95782.15</v>
      </c>
      <c r="D50" s="106">
        <f t="shared" si="9"/>
        <v>-95687.44</v>
      </c>
      <c r="E50" s="107">
        <f t="shared" si="9"/>
        <v>-106337.77</v>
      </c>
      <c r="F50" s="106">
        <f t="shared" si="9"/>
        <v>-117955.38</v>
      </c>
      <c r="G50" s="106">
        <f t="shared" si="9"/>
        <v>-102500</v>
      </c>
      <c r="H50" s="106">
        <f t="shared" si="9"/>
        <v>-223480</v>
      </c>
    </row>
    <row r="51" spans="1:8" ht="13.5" thickTop="1" x14ac:dyDescent="0.2">
      <c r="A51" s="1" t="s">
        <v>8</v>
      </c>
    </row>
    <row r="52" spans="1:8" x14ac:dyDescent="0.2">
      <c r="A52" s="1" t="s">
        <v>8</v>
      </c>
      <c r="B52" s="103" t="s">
        <v>164</v>
      </c>
      <c r="C52" s="103"/>
      <c r="D52" s="103"/>
    </row>
    <row r="53" spans="1:8" x14ac:dyDescent="0.2">
      <c r="A53" s="1" t="s">
        <v>8</v>
      </c>
    </row>
    <row r="54" spans="1:8" x14ac:dyDescent="0.2">
      <c r="A54" s="1" t="s">
        <v>8</v>
      </c>
    </row>
    <row r="55" spans="1:8" x14ac:dyDescent="0.2">
      <c r="A55" s="1" t="s">
        <v>8</v>
      </c>
    </row>
    <row r="56" spans="1:8" x14ac:dyDescent="0.2">
      <c r="A56" s="1" t="s">
        <v>8</v>
      </c>
    </row>
    <row r="57" spans="1:8" x14ac:dyDescent="0.2">
      <c r="A57" s="1" t="s">
        <v>8</v>
      </c>
    </row>
    <row r="58" spans="1:8" x14ac:dyDescent="0.2">
      <c r="A58" s="1" t="s">
        <v>8</v>
      </c>
    </row>
  </sheetData>
  <mergeCells count="1">
    <mergeCell ref="A50:B50"/>
  </mergeCells>
  <pageMargins left="0.74803149606299213" right="0.74803149606299213" top="0.57870370370370372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Protective Services
</oddHeader>
    <oddFooter>&amp;L&amp;P of &amp;N &amp;C&amp;R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BE68C-4398-402C-933B-5011AAB62A6A}">
  <sheetPr>
    <tabColor theme="9" tint="-0.249977111117893"/>
  </sheetPr>
  <dimension ref="A1:K36"/>
  <sheetViews>
    <sheetView topLeftCell="A4" zoomScale="150" zoomScaleNormal="150" zoomScalePageLayoutView="175" workbookViewId="0">
      <selection activeCell="G9" sqref="G9"/>
    </sheetView>
  </sheetViews>
  <sheetFormatPr defaultRowHeight="12.75" x14ac:dyDescent="0.2"/>
  <cols>
    <col min="1" max="1" width="23.5703125" style="1" customWidth="1"/>
    <col min="2" max="3" width="9.5703125" style="1" bestFit="1" customWidth="1"/>
    <col min="4" max="4" width="11.7109375" style="1" bestFit="1" customWidth="1"/>
    <col min="5" max="5" width="9.5703125" style="1" bestFit="1" customWidth="1"/>
    <col min="6" max="6" width="11.42578125" style="1" customWidth="1"/>
    <col min="7" max="7" width="10.85546875" style="1" customWidth="1"/>
    <col min="8" max="8" width="14.5703125" style="1" bestFit="1" customWidth="1"/>
    <col min="9" max="10" width="9.140625" style="1"/>
    <col min="11" max="11" width="13.85546875" style="24" bestFit="1" customWidth="1"/>
    <col min="12" max="12" width="14.5703125" style="1" bestFit="1" customWidth="1"/>
    <col min="13" max="16384" width="9.140625" style="1"/>
  </cols>
  <sheetData>
    <row r="1" spans="1:8" x14ac:dyDescent="0.2">
      <c r="B1" s="2">
        <v>2019</v>
      </c>
      <c r="C1" s="2">
        <v>2020</v>
      </c>
      <c r="D1" s="3">
        <v>2021</v>
      </c>
      <c r="E1" s="2">
        <v>2022</v>
      </c>
      <c r="F1" s="2">
        <v>2021</v>
      </c>
      <c r="G1" s="2">
        <v>2022</v>
      </c>
    </row>
    <row r="2" spans="1:8" x14ac:dyDescent="0.2">
      <c r="B2" s="4" t="s">
        <v>0</v>
      </c>
      <c r="C2" s="5" t="s">
        <v>0</v>
      </c>
      <c r="D2" s="6" t="s">
        <v>0</v>
      </c>
      <c r="E2" s="5" t="s">
        <v>0</v>
      </c>
      <c r="F2" s="5" t="s">
        <v>1</v>
      </c>
      <c r="G2" s="5" t="s">
        <v>1</v>
      </c>
    </row>
    <row r="3" spans="1:8" x14ac:dyDescent="0.2">
      <c r="A3" s="7" t="s">
        <v>2</v>
      </c>
      <c r="B3" s="7"/>
      <c r="C3" s="7"/>
      <c r="D3" s="8"/>
    </row>
    <row r="4" spans="1:8" x14ac:dyDescent="0.2">
      <c r="A4" s="9" t="s">
        <v>3</v>
      </c>
      <c r="B4" s="10">
        <f>SUM('Rec Director'!C5+'Rec Centre'!C5+Pool!C5+'Parks, Campground, SG, etc'!C5)</f>
        <v>20000</v>
      </c>
      <c r="C4" s="10">
        <f>SUM('Rec Director'!D5+'Rec Centre'!D5+Pool!D5+'Parks, Campground, SG, etc'!D5)</f>
        <v>50000</v>
      </c>
      <c r="D4" s="12">
        <f>SUM('Rec Director'!E5+'Rec Centre'!E5+Pool!E5+'Parks, Campground, SG, etc'!E5)</f>
        <v>70448.27</v>
      </c>
      <c r="E4" s="10">
        <f>SUM('Rec Director'!F5+'Rec Centre'!F5+Pool!F5+'Parks, Campground, SG, etc'!F5)</f>
        <v>0</v>
      </c>
      <c r="F4" s="10">
        <f>SUM('Rec Director'!G5+'Rec Centre'!G5+Pool!G5+'Parks, Campground, SG, etc'!G5)</f>
        <v>66250</v>
      </c>
      <c r="G4" s="10">
        <f>SUM('Rec Director'!H5+'Rec Centre'!H5+Pool!H5+'Parks, Campground, SG, etc'!H5)</f>
        <v>104860</v>
      </c>
    </row>
    <row r="5" spans="1:8" ht="15" x14ac:dyDescent="0.2">
      <c r="A5" s="9" t="s">
        <v>4</v>
      </c>
      <c r="B5" s="11">
        <f>SUM('Rec Director'!C9+'Rec Centre'!C19+Pool!C15+'Parks, Campground, SG, etc'!C13+'Playground Program'!C6)</f>
        <v>410222.02</v>
      </c>
      <c r="C5" s="11">
        <f>SUM('Rec Director'!D9+'Rec Centre'!D19+Pool!D15+'Parks, Campground, SG, etc'!D13+'Playground Program'!D6)</f>
        <v>474956.9</v>
      </c>
      <c r="D5" s="13">
        <f>SUM('Rec Director'!E9+'Rec Centre'!E19+Pool!E15+'Parks, Campground, SG, etc'!E13+'Playground Program'!E6)</f>
        <v>397210.61000000004</v>
      </c>
      <c r="E5" s="11">
        <f>SUM('Rec Director'!F9+'Rec Centre'!F19+Pool!F15+'Parks, Campground, SG, etc'!F13+'Playground Program'!F6)</f>
        <v>214234.47999999998</v>
      </c>
      <c r="F5" s="11">
        <f>SUM('Rec Director'!G9+'Rec Centre'!G19+Pool!G15+'Parks, Campground, SG, etc'!G13+'Playground Program'!G6)</f>
        <v>396750</v>
      </c>
      <c r="G5" s="11">
        <f>SUM('Rec Director'!H9+'Rec Centre'!H19+Pool!H15+'Parks, Campground, SG, etc'!H13+'Playground Program'!H6)</f>
        <v>366590</v>
      </c>
      <c r="H5" s="14"/>
    </row>
    <row r="6" spans="1:8" ht="15" x14ac:dyDescent="0.2">
      <c r="A6" s="9" t="s">
        <v>6</v>
      </c>
      <c r="B6" s="11">
        <f>SUM('Rec Director'!C19+'Rec Centre'!C22+Pool!C22+'Parks, Campground, SG, etc'!C17+'Playground Program'!C13)</f>
        <v>26576.36</v>
      </c>
      <c r="C6" s="11">
        <f>SUM('Rec Director'!D19+'Rec Centre'!D22+Pool!D22+'Parks, Campground, SG, etc'!D17+'Playground Program'!D13)</f>
        <v>31525.360000000001</v>
      </c>
      <c r="D6" s="13">
        <f>SUM('Rec Director'!E19+'Rec Centre'!E22+Pool!E22+'Parks, Campground, SG, etc'!E17+'Playground Program'!E13)</f>
        <v>35363.14</v>
      </c>
      <c r="E6" s="11">
        <f>SUM('Rec Director'!F19+'Rec Centre'!F22+Pool!F22+'Parks, Campground, SG, etc'!F17+'Playground Program'!F13)</f>
        <v>24994.43</v>
      </c>
      <c r="F6" s="11">
        <f>SUM('Rec Director'!G19+'Rec Centre'!G22+Pool!G22+'Parks, Campground, SG, etc'!G17+'Playground Program'!G13)</f>
        <v>26380</v>
      </c>
      <c r="G6" s="11">
        <f>SUM('Rec Director'!H19+'Rec Centre'!H22+Pool!H22+'Parks, Campground, SG, etc'!H17+'Playground Program'!H13)</f>
        <v>21480</v>
      </c>
      <c r="H6" s="14"/>
    </row>
    <row r="7" spans="1:8" x14ac:dyDescent="0.2">
      <c r="A7" s="17" t="s">
        <v>7</v>
      </c>
      <c r="B7" s="18">
        <f t="shared" ref="B7:G7" si="0">SUM(B4:B6)</f>
        <v>456798.38</v>
      </c>
      <c r="C7" s="18">
        <f t="shared" si="0"/>
        <v>556482.26</v>
      </c>
      <c r="D7" s="19">
        <f t="shared" si="0"/>
        <v>503022.02000000008</v>
      </c>
      <c r="E7" s="18">
        <f t="shared" si="0"/>
        <v>239228.90999999997</v>
      </c>
      <c r="F7" s="18">
        <f t="shared" si="0"/>
        <v>489380</v>
      </c>
      <c r="G7" s="18">
        <f t="shared" si="0"/>
        <v>492930</v>
      </c>
      <c r="H7" s="14"/>
    </row>
    <row r="8" spans="1:8" x14ac:dyDescent="0.2">
      <c r="A8" s="1" t="s">
        <v>8</v>
      </c>
      <c r="C8" s="20"/>
      <c r="D8" s="16"/>
      <c r="E8" s="15"/>
      <c r="F8" s="15"/>
      <c r="G8" s="20"/>
      <c r="H8" s="21"/>
    </row>
    <row r="9" spans="1:8" x14ac:dyDescent="0.2">
      <c r="A9" s="7" t="s">
        <v>9</v>
      </c>
      <c r="B9" s="7"/>
      <c r="C9" s="22"/>
      <c r="D9" s="16"/>
      <c r="E9" s="15"/>
      <c r="F9" s="15"/>
      <c r="G9" s="20"/>
    </row>
    <row r="10" spans="1:8" ht="15" x14ac:dyDescent="0.2">
      <c r="A10" s="9" t="s">
        <v>10</v>
      </c>
      <c r="B10" s="11">
        <f>SUM('Rec Director'!C27+'Rec Centre'!C34+Pool!C30+'Parks, Campground, SG, etc'!C29+'Playground Program'!C21)-1</f>
        <v>186228.91999999998</v>
      </c>
      <c r="C10" s="11">
        <f>SUM('Rec Director'!D27+'Rec Centre'!D34+Pool!D30+'Parks, Campground, SG, etc'!D29+'Playground Program'!D21)-1</f>
        <v>295310.34000000003</v>
      </c>
      <c r="D10" s="13">
        <f>SUM('Rec Director'!E27+'Rec Centre'!E34+Pool!E30+'Parks, Campground, SG, etc'!E29+'Playground Program'!E21)-1</f>
        <v>310733.90999999997</v>
      </c>
      <c r="E10" s="11">
        <f>SUM('Rec Director'!F27+'Rec Centre'!F34+Pool!F30+'Parks, Campground, SG, etc'!F29+'Playground Program'!F21)-1</f>
        <v>219167.37</v>
      </c>
      <c r="F10" s="11">
        <f>SUM('Rec Director'!G27+'Rec Centre'!G34+Pool!G30+'Parks, Campground, SG, etc'!G29+'Playground Program'!G21)-1</f>
        <v>348939</v>
      </c>
      <c r="G10" s="11">
        <f>SUM('Rec Director'!H27+'Rec Centre'!H34+Pool!H30+'Parks, Campground, SG, etc'!H29+'Playground Program'!H21)-1</f>
        <v>271209.63500000001</v>
      </c>
      <c r="H10" s="23"/>
    </row>
    <row r="11" spans="1:8" ht="15" x14ac:dyDescent="0.2">
      <c r="A11" s="9" t="s">
        <v>11</v>
      </c>
      <c r="B11" s="11">
        <f>SUM('Rec Centre'!C49+Pool!C41+'Parks, Campground, SG, etc'!C33)</f>
        <v>34472.22</v>
      </c>
      <c r="C11" s="11">
        <f>SUM('Rec Centre'!D49+Pool!D41+'Parks, Campground, SG, etc'!D33)</f>
        <v>10858.21</v>
      </c>
      <c r="D11" s="13">
        <f>SUM('Rec Centre'!E49+Pool!E41+'Parks, Campground, SG, etc'!E33)</f>
        <v>7195.41</v>
      </c>
      <c r="E11" s="11">
        <f>SUM('Rec Centre'!F49+Pool!F41+'Parks, Campground, SG, etc'!F33)</f>
        <v>2045.89</v>
      </c>
      <c r="F11" s="11">
        <f>SUM('Rec Centre'!G49+Pool!G41+'Parks, Campground, SG, etc'!G33)</f>
        <v>17720</v>
      </c>
      <c r="G11" s="11">
        <f>SUM('Rec Centre'!H49+Pool!H41+'Parks, Campground, SG, etc'!H33)</f>
        <v>47920</v>
      </c>
      <c r="H11" s="14"/>
    </row>
    <row r="12" spans="1:8" ht="15" x14ac:dyDescent="0.2">
      <c r="A12" s="9" t="s">
        <v>12</v>
      </c>
      <c r="B12" s="11">
        <f>SUM('Rec Director'!C31+'Rec Centre'!C42+Pool!C37+'Parks, Campground, SG, etc'!C40)</f>
        <v>49551.180000000008</v>
      </c>
      <c r="C12" s="11">
        <f>SUM('Rec Director'!D31+'Rec Centre'!D42+Pool!D37+'Parks, Campground, SG, etc'!D40)</f>
        <v>76750.939999999988</v>
      </c>
      <c r="D12" s="13">
        <f>SUM('Rec Director'!E31+'Rec Centre'!E42+Pool!E37+'Parks, Campground, SG, etc'!E40)</f>
        <v>59407.12999999999</v>
      </c>
      <c r="E12" s="11">
        <f>SUM('Rec Director'!F31+'Rec Centre'!F42+Pool!F37+'Parks, Campground, SG, etc'!F40)</f>
        <v>47485.579999999994</v>
      </c>
      <c r="F12" s="11">
        <f>SUM('Rec Director'!G31+'Rec Centre'!G42+Pool!G37+'Parks, Campground, SG, etc'!G40)</f>
        <v>67880</v>
      </c>
      <c r="G12" s="11">
        <f>SUM('Rec Director'!H31+'Rec Centre'!H42+Pool!H37+'Parks, Campground, SG, etc'!H40)</f>
        <v>68400</v>
      </c>
    </row>
    <row r="13" spans="1:8" ht="15" x14ac:dyDescent="0.2">
      <c r="A13" s="9" t="s">
        <v>13</v>
      </c>
      <c r="B13" s="11">
        <f>SUM('Rec Director'!C41+'Rec Centre'!C66+Pool!C52+'Parks, Campground, SG, etc'!C51+'Playground Program'!C25)</f>
        <v>151818.71</v>
      </c>
      <c r="C13" s="11">
        <f>SUM('Rec Director'!D41+'Rec Centre'!D66+Pool!D52+'Parks, Campground, SG, etc'!D51+'Playground Program'!D25)</f>
        <v>154366.06999999998</v>
      </c>
      <c r="D13" s="13">
        <f>SUM('Rec Director'!E41+'Rec Centre'!E66+Pool!E52+'Parks, Campground, SG, etc'!E51+'Playground Program'!E25)</f>
        <v>163437.32</v>
      </c>
      <c r="E13" s="11">
        <f>SUM('Rec Director'!F41+'Rec Centre'!F66+Pool!F52+'Parks, Campground, SG, etc'!F51+'Playground Program'!F25)</f>
        <v>115370.26000000001</v>
      </c>
      <c r="F13" s="11">
        <f>SUM('Rec Director'!G41+'Rec Centre'!G66+Pool!G52+'Parks, Campground, SG, etc'!G51+'Playground Program'!G25)</f>
        <v>182310</v>
      </c>
      <c r="G13" s="11">
        <f>SUM('Rec Director'!H41+'Rec Centre'!H66+Pool!H52+'Parks, Campground, SG, etc'!H51+'Playground Program'!H25)</f>
        <v>222380</v>
      </c>
      <c r="H13" s="14"/>
    </row>
    <row r="14" spans="1:8" ht="15" x14ac:dyDescent="0.2">
      <c r="A14" s="9" t="s">
        <v>14</v>
      </c>
      <c r="B14" s="11">
        <f>'Rec Director'!C45+'Rec Centre'!C70</f>
        <v>104299.44</v>
      </c>
      <c r="C14" s="11">
        <f>'Rec Director'!D45+'Rec Centre'!D70</f>
        <v>122398.48</v>
      </c>
      <c r="D14" s="13">
        <f>'Rec Director'!E45+'Rec Centre'!E70</f>
        <v>38881.15</v>
      </c>
      <c r="E14" s="11">
        <f>'Rec Director'!F45+'Rec Centre'!F70</f>
        <v>2400</v>
      </c>
      <c r="F14" s="11">
        <f>'Rec Director'!G45+'Rec Centre'!G70</f>
        <v>23890</v>
      </c>
      <c r="G14" s="11">
        <f>'Rec Director'!H45+'Rec Centre'!H70</f>
        <v>23890</v>
      </c>
      <c r="H14" s="14"/>
    </row>
    <row r="15" spans="1:8" ht="15" x14ac:dyDescent="0.2">
      <c r="A15" s="9" t="s">
        <v>15</v>
      </c>
      <c r="B15" s="11">
        <f>'Rec Director'!C48</f>
        <v>15533</v>
      </c>
      <c r="C15" s="11">
        <f>'Rec Director'!D48</f>
        <v>0</v>
      </c>
      <c r="D15" s="13">
        <f>'Rec Director'!E48</f>
        <v>28527.360000000001</v>
      </c>
      <c r="E15" s="11">
        <f>'Rec Director'!F48</f>
        <v>0</v>
      </c>
      <c r="F15" s="11">
        <f>'Rec Director'!G48</f>
        <v>0</v>
      </c>
      <c r="G15" s="11">
        <f>'Rec Director'!H48</f>
        <v>0</v>
      </c>
    </row>
    <row r="16" spans="1:8" ht="15" x14ac:dyDescent="0.2">
      <c r="A16" s="9" t="s">
        <v>16</v>
      </c>
      <c r="B16" s="11">
        <f>SUM('Rec Centre'!C74+Pool!C56)</f>
        <v>685.89</v>
      </c>
      <c r="C16" s="11">
        <f>SUM('Rec Centre'!D74+Pool!D56)</f>
        <v>557.52</v>
      </c>
      <c r="D16" s="13">
        <f>SUM('Rec Centre'!E74+Pool!E56)</f>
        <v>671.12</v>
      </c>
      <c r="E16" s="11">
        <f>SUM('Rec Centre'!F74+Pool!F56)</f>
        <v>797.16000000000008</v>
      </c>
      <c r="F16" s="11">
        <f>SUM('Rec Centre'!G74+Pool!G56)</f>
        <v>600</v>
      </c>
      <c r="G16" s="11">
        <f>SUM('Rec Centre'!H74+Pool!H56)</f>
        <v>600</v>
      </c>
    </row>
    <row r="17" spans="1:8" ht="15" x14ac:dyDescent="0.2">
      <c r="A17" s="9" t="s">
        <v>17</v>
      </c>
      <c r="B17" s="11">
        <f>SUM('Rec Director'!C53)</f>
        <v>809.15</v>
      </c>
      <c r="C17" s="11">
        <f>SUM('Rec Director'!D53)</f>
        <v>1746</v>
      </c>
      <c r="D17" s="13">
        <f>SUM('Rec Director'!E53)</f>
        <v>1330</v>
      </c>
      <c r="E17" s="11">
        <f>SUM('Rec Director'!F53)</f>
        <v>1279</v>
      </c>
      <c r="F17" s="11">
        <f>SUM('Rec Director'!G53)</f>
        <v>2500</v>
      </c>
      <c r="G17" s="11">
        <f>SUM('Rec Director'!H53)</f>
        <v>2500</v>
      </c>
      <c r="H17" s="14"/>
    </row>
    <row r="18" spans="1:8" x14ac:dyDescent="0.2">
      <c r="A18" s="9" t="s">
        <v>19</v>
      </c>
      <c r="B18" s="25">
        <f>SUM('Rec Centre'!C77+Pool!C59+'Parks, Campground, SG, etc'!C53)</f>
        <v>0</v>
      </c>
      <c r="C18" s="25">
        <f>SUM('Rec Centre'!D77+Pool!D59+'Parks, Campground, SG, etc'!D53)</f>
        <v>0</v>
      </c>
      <c r="D18" s="26">
        <f>SUM('Rec Centre'!E77+Pool!E59+'Parks, Campground, SG, etc'!E53)</f>
        <v>0.06</v>
      </c>
      <c r="E18" s="25">
        <f>SUM('Rec Centre'!F77+Pool!F59+'Parks, Campground, SG, etc'!F53)</f>
        <v>31049.5</v>
      </c>
      <c r="F18" s="25">
        <f>SUM('Rec Centre'!G77+Pool!G59+'Parks, Campground, SG, etc'!G53)</f>
        <v>114710</v>
      </c>
      <c r="G18" s="25">
        <f>SUM('Rec Centre'!H77+Pool!H59+'Parks, Campground, SG, etc'!H53)</f>
        <v>79000</v>
      </c>
    </row>
    <row r="19" spans="1:8" x14ac:dyDescent="0.2">
      <c r="A19" s="28" t="s">
        <v>20</v>
      </c>
      <c r="B19" s="29">
        <f>SUM('Rec Director'!C55+'Rec Centre'!C78+Pool!C60+'Parks, Campground, SG, etc'!C54)</f>
        <v>70000</v>
      </c>
      <c r="C19" s="29">
        <f>SUM('Rec Director'!D55+'Rec Centre'!D78+Pool!D60+'Parks, Campground, SG, etc'!D54)</f>
        <v>164710.62</v>
      </c>
      <c r="D19" s="29">
        <f>SUM('Rec Director'!E55+'Rec Centre'!E78+Pool!E60+'Parks, Campground, SG, etc'!E54)</f>
        <v>235015.86</v>
      </c>
      <c r="E19" s="29">
        <f>SUM('Rec Director'!F55+'Rec Centre'!F78+Pool!F60+'Parks, Campground, SG, etc'!F54)</f>
        <v>0</v>
      </c>
      <c r="F19" s="29">
        <f>SUM('Rec Director'!G55+'Rec Centre'!G78+Pool!G60+'Parks, Campground, SG, etc'!G54)</f>
        <v>26170</v>
      </c>
      <c r="G19" s="29">
        <f>SUM('Rec Director'!H55+'Rec Centre'!H78+Pool!H60+'Parks, Campground, SG, etc'!H54)</f>
        <v>35000</v>
      </c>
    </row>
    <row r="20" spans="1:8" x14ac:dyDescent="0.2">
      <c r="A20" s="17" t="s">
        <v>21</v>
      </c>
      <c r="B20" s="30">
        <f t="shared" ref="B20:G20" si="1">SUM(B10:B19)</f>
        <v>613398.51</v>
      </c>
      <c r="C20" s="30">
        <f t="shared" si="1"/>
        <v>826698.18</v>
      </c>
      <c r="D20" s="19">
        <f t="shared" si="1"/>
        <v>845199.32000000007</v>
      </c>
      <c r="E20" s="18">
        <f t="shared" si="1"/>
        <v>419594.76</v>
      </c>
      <c r="F20" s="18">
        <f t="shared" si="1"/>
        <v>784719</v>
      </c>
      <c r="G20" s="30">
        <f t="shared" si="1"/>
        <v>750899.63500000001</v>
      </c>
    </row>
    <row r="21" spans="1:8" x14ac:dyDescent="0.2">
      <c r="A21" s="1" t="s">
        <v>8</v>
      </c>
      <c r="C21" s="20"/>
      <c r="D21" s="16"/>
      <c r="E21" s="15"/>
      <c r="F21" s="20"/>
      <c r="G21" s="20"/>
    </row>
    <row r="22" spans="1:8" x14ac:dyDescent="0.2">
      <c r="A22" s="17" t="s">
        <v>22</v>
      </c>
      <c r="B22" s="30">
        <f t="shared" ref="B22:G22" si="2">B7-B20</f>
        <v>-156600.13</v>
      </c>
      <c r="C22" s="30">
        <f t="shared" si="2"/>
        <v>-270215.92000000004</v>
      </c>
      <c r="D22" s="19">
        <f t="shared" si="2"/>
        <v>-342177.3</v>
      </c>
      <c r="E22" s="18">
        <f t="shared" si="2"/>
        <v>-180365.85000000003</v>
      </c>
      <c r="F22" s="30">
        <f t="shared" si="2"/>
        <v>-295339</v>
      </c>
      <c r="G22" s="30">
        <f t="shared" si="2"/>
        <v>-257969.63500000001</v>
      </c>
    </row>
    <row r="23" spans="1:8" x14ac:dyDescent="0.2">
      <c r="A23" s="1" t="s">
        <v>8</v>
      </c>
      <c r="C23" s="20"/>
      <c r="D23" s="20"/>
      <c r="E23" s="20"/>
      <c r="F23" s="20"/>
      <c r="G23" s="20"/>
    </row>
    <row r="24" spans="1:8" x14ac:dyDescent="0.2">
      <c r="A24" s="1" t="s">
        <v>8</v>
      </c>
      <c r="B24" s="27">
        <f>(B22/'GG -Admin'!C9)*-1</f>
        <v>0.10253803760260533</v>
      </c>
      <c r="C24" s="1" t="s">
        <v>165</v>
      </c>
      <c r="E24" s="27">
        <f>(G22/'GG -Admin'!H9)*-1</f>
        <v>0.16049375369396834</v>
      </c>
      <c r="F24" s="1" t="s">
        <v>165</v>
      </c>
    </row>
    <row r="25" spans="1:8" x14ac:dyDescent="0.2">
      <c r="A25" s="1" t="s">
        <v>8</v>
      </c>
      <c r="B25" s="27">
        <f>(B22/'SUMMARY-F'!B5)*-1</f>
        <v>5.3283191147403229E-2</v>
      </c>
      <c r="C25" s="1" t="s">
        <v>166</v>
      </c>
      <c r="E25" s="27">
        <f>(G22/'SUMMARY-F'!G5)*-1</f>
        <v>8.5562067993366506E-2</v>
      </c>
      <c r="F25" s="1" t="s">
        <v>166</v>
      </c>
    </row>
    <row r="26" spans="1:8" x14ac:dyDescent="0.2">
      <c r="A26" s="1" t="s">
        <v>8</v>
      </c>
      <c r="F26" s="21"/>
    </row>
    <row r="27" spans="1:8" x14ac:dyDescent="0.2">
      <c r="A27" s="1" t="s">
        <v>23</v>
      </c>
    </row>
    <row r="28" spans="1:8" x14ac:dyDescent="0.2">
      <c r="A28" s="1" t="s">
        <v>8</v>
      </c>
    </row>
    <row r="29" spans="1:8" x14ac:dyDescent="0.2">
      <c r="F29" s="31"/>
    </row>
    <row r="30" spans="1:8" x14ac:dyDescent="0.2">
      <c r="A30" s="32" t="s">
        <v>8</v>
      </c>
      <c r="B30" s="32"/>
      <c r="C30" s="32"/>
    </row>
    <row r="31" spans="1:8" x14ac:dyDescent="0.2">
      <c r="A31" s="1" t="s">
        <v>24</v>
      </c>
    </row>
    <row r="36" spans="11:11" ht="15" x14ac:dyDescent="0.35">
      <c r="K36" s="33"/>
    </row>
  </sheetData>
  <pageMargins left="0.74803149606299213" right="0.74803149606299213" top="0.65625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Recreation Summary 
</oddHeader>
    <oddFooter>&amp;L&amp;P of &amp;N &amp;C&amp;R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A150E-3400-4E67-B1F9-02E4C2F78721}">
  <sheetPr>
    <pageSetUpPr fitToPage="1"/>
  </sheetPr>
  <dimension ref="A1:J60"/>
  <sheetViews>
    <sheetView topLeftCell="A16" zoomScale="150" zoomScaleNormal="150" zoomScalePageLayoutView="90" workbookViewId="0">
      <selection activeCell="G9" sqref="G9"/>
    </sheetView>
  </sheetViews>
  <sheetFormatPr defaultColWidth="8.85546875" defaultRowHeight="12.75" x14ac:dyDescent="0.2"/>
  <cols>
    <col min="1" max="1" width="13" style="1" customWidth="1"/>
    <col min="2" max="2" width="34.42578125" style="1" bestFit="1" customWidth="1"/>
    <col min="3" max="4" width="8.140625" style="1" bestFit="1" customWidth="1"/>
    <col min="5" max="5" width="9.140625" style="1" bestFit="1" customWidth="1"/>
    <col min="6" max="6" width="8.140625" style="1" bestFit="1" customWidth="1"/>
    <col min="7" max="7" width="10.85546875" style="1" customWidth="1"/>
    <col min="8" max="8" width="9.7109375" style="1" bestFit="1" customWidth="1"/>
    <col min="9" max="9" width="11.7109375" style="1" bestFit="1" customWidth="1"/>
    <col min="10" max="10" width="12.85546875" style="1" bestFit="1" customWidth="1"/>
    <col min="11" max="16384" width="8.85546875" style="1"/>
  </cols>
  <sheetData>
    <row r="1" spans="1:8" x14ac:dyDescent="0.2">
      <c r="B1" s="71"/>
      <c r="C1" s="2">
        <v>2019</v>
      </c>
      <c r="D1" s="2">
        <v>2020</v>
      </c>
      <c r="E1" s="3">
        <v>2021</v>
      </c>
      <c r="F1" s="2">
        <v>2022</v>
      </c>
      <c r="G1" s="2">
        <v>2021</v>
      </c>
      <c r="H1" s="2">
        <v>2022</v>
      </c>
    </row>
    <row r="2" spans="1:8" x14ac:dyDescent="0.2">
      <c r="A2" s="35" t="s">
        <v>2</v>
      </c>
      <c r="B2" s="35"/>
      <c r="C2" s="4" t="s">
        <v>0</v>
      </c>
      <c r="D2" s="5" t="s">
        <v>0</v>
      </c>
      <c r="E2" s="6" t="s">
        <v>0</v>
      </c>
      <c r="F2" s="5" t="s">
        <v>0</v>
      </c>
      <c r="G2" s="5" t="s">
        <v>1</v>
      </c>
      <c r="H2" s="5" t="s">
        <v>1</v>
      </c>
    </row>
    <row r="3" spans="1:8" x14ac:dyDescent="0.2">
      <c r="A3" s="37" t="s">
        <v>25</v>
      </c>
      <c r="B3" s="38"/>
      <c r="C3" s="38"/>
      <c r="D3" s="38"/>
      <c r="E3" s="134"/>
      <c r="F3" s="38"/>
      <c r="G3" s="38"/>
      <c r="H3" s="38"/>
    </row>
    <row r="4" spans="1:8" x14ac:dyDescent="0.2">
      <c r="A4" s="37" t="s">
        <v>167</v>
      </c>
      <c r="B4" s="1" t="str">
        <f>VLOOKUP(A4,'[1]SQL DATA'!$B:$J,3,FALSE)</f>
        <v>Transfer from Reserves - Rec Director</v>
      </c>
      <c r="C4" s="20">
        <f>VLOOKUP(A4,'[1]SQL DATA'!$B:$K,10,FALSE)</f>
        <v>0</v>
      </c>
      <c r="D4" s="20">
        <f>VLOOKUP(A4,'[1]SQL DATA'!$B:$J,9,FALSE)</f>
        <v>0</v>
      </c>
      <c r="E4" s="16">
        <f>VLOOKUP(A4,'[1]SQL DATA'!$B:$J,7,FALSE)</f>
        <v>3689</v>
      </c>
      <c r="F4" s="15">
        <f>VLOOKUP(A4,'[1]SQL DATA'!$B:$J,6,FALSE)</f>
        <v>0</v>
      </c>
      <c r="G4" s="20">
        <v>3660</v>
      </c>
      <c r="H4" s="20">
        <v>3660</v>
      </c>
    </row>
    <row r="5" spans="1:8" x14ac:dyDescent="0.2">
      <c r="A5" s="39" t="s">
        <v>27</v>
      </c>
      <c r="B5" s="39"/>
      <c r="C5" s="135">
        <f t="shared" ref="C5:H5" si="0">+C4</f>
        <v>0</v>
      </c>
      <c r="D5" s="135">
        <f t="shared" si="0"/>
        <v>0</v>
      </c>
      <c r="E5" s="136">
        <f t="shared" si="0"/>
        <v>3689</v>
      </c>
      <c r="F5" s="137">
        <f t="shared" si="0"/>
        <v>0</v>
      </c>
      <c r="G5" s="135">
        <f t="shared" si="0"/>
        <v>3660</v>
      </c>
      <c r="H5" s="135">
        <f t="shared" si="0"/>
        <v>3660</v>
      </c>
    </row>
    <row r="6" spans="1:8" x14ac:dyDescent="0.2">
      <c r="A6" s="7"/>
      <c r="B6" s="2"/>
      <c r="C6" s="2"/>
      <c r="D6" s="138"/>
      <c r="E6" s="111"/>
      <c r="F6" s="110"/>
      <c r="G6" s="138"/>
      <c r="H6" s="138"/>
    </row>
    <row r="7" spans="1:8" x14ac:dyDescent="0.2">
      <c r="A7" s="37" t="s">
        <v>28</v>
      </c>
      <c r="D7" s="73"/>
      <c r="E7" s="50"/>
      <c r="F7" s="49"/>
      <c r="G7" s="73"/>
      <c r="H7" s="73"/>
    </row>
    <row r="8" spans="1:8" x14ac:dyDescent="0.2">
      <c r="A8" s="1" t="s">
        <v>168</v>
      </c>
      <c r="B8" s="1" t="str">
        <f>VLOOKUP(A8,'[1]SQL DATA'!$B:$J,3,FALSE)</f>
        <v>Other</v>
      </c>
      <c r="C8" s="83">
        <f>VLOOKUP(A8,'[1]SQL DATA'!$B:$K,10,FALSE)</f>
        <v>0</v>
      </c>
      <c r="D8" s="20">
        <f>VLOOKUP(A8,'[1]SQL DATA'!$B:$J,9,FALSE)</f>
        <v>0</v>
      </c>
      <c r="E8" s="16">
        <f>VLOOKUP(A8,'[1]SQL DATA'!$B:$J,7,FALSE)</f>
        <v>0</v>
      </c>
      <c r="F8" s="15">
        <f>VLOOKUP(A8,'[1]SQL DATA'!$B:$J,6,FALSE)</f>
        <v>0</v>
      </c>
      <c r="G8" s="73">
        <v>0</v>
      </c>
      <c r="H8" s="73">
        <v>0</v>
      </c>
    </row>
    <row r="9" spans="1:8" x14ac:dyDescent="0.2">
      <c r="A9" s="39" t="s">
        <v>42</v>
      </c>
      <c r="B9" s="81"/>
      <c r="C9" s="81">
        <f>SUM(C8)</f>
        <v>0</v>
      </c>
      <c r="D9" s="92">
        <f>+D8</f>
        <v>0</v>
      </c>
      <c r="E9" s="91">
        <f>+E8</f>
        <v>0</v>
      </c>
      <c r="F9" s="90">
        <f>+F8</f>
        <v>0</v>
      </c>
      <c r="G9" s="92">
        <f>+G8</f>
        <v>0</v>
      </c>
      <c r="H9" s="92">
        <f>+H8</f>
        <v>0</v>
      </c>
    </row>
    <row r="10" spans="1:8" x14ac:dyDescent="0.2">
      <c r="A10" s="37"/>
      <c r="B10" s="81"/>
      <c r="C10" s="81"/>
      <c r="D10" s="73"/>
      <c r="E10" s="50"/>
      <c r="F10" s="49"/>
      <c r="G10" s="73"/>
      <c r="H10" s="73"/>
    </row>
    <row r="11" spans="1:8" x14ac:dyDescent="0.2">
      <c r="A11" s="37" t="s">
        <v>169</v>
      </c>
      <c r="B11" s="81"/>
      <c r="C11" s="81"/>
      <c r="D11" s="73"/>
      <c r="E11" s="50"/>
      <c r="F11" s="49"/>
      <c r="G11" s="73"/>
      <c r="H11" s="73"/>
    </row>
    <row r="12" spans="1:8" x14ac:dyDescent="0.2">
      <c r="A12" s="1" t="s">
        <v>170</v>
      </c>
      <c r="B12" s="1" t="str">
        <f>VLOOKUP(A12,'[1]SQL DATA'!$B:$J,3,FALSE)</f>
        <v>Unconditional Local Grants - Lotteries</v>
      </c>
      <c r="C12" s="20">
        <f>VLOOKUP(A12,'[1]SQL DATA'!$B:$K,10,FALSE)</f>
        <v>15915</v>
      </c>
      <c r="D12" s="20">
        <f>VLOOKUP(A12,'[1]SQL DATA'!$B:$J,9,FALSE)</f>
        <v>15725</v>
      </c>
      <c r="E12" s="16">
        <f>VLOOKUP(A12,'[1]SQL DATA'!$B:$J,7,FALSE)</f>
        <v>14556</v>
      </c>
      <c r="F12" s="15">
        <f>VLOOKUP(A12,'[1]SQL DATA'!$B:$J,6,FALSE)</f>
        <v>13559</v>
      </c>
      <c r="G12" s="73">
        <v>15730</v>
      </c>
      <c r="H12" s="73">
        <v>15730</v>
      </c>
    </row>
    <row r="13" spans="1:8" x14ac:dyDescent="0.2">
      <c r="A13" s="39" t="s">
        <v>171</v>
      </c>
      <c r="B13" s="82"/>
      <c r="C13" s="92">
        <f t="shared" ref="C13:H13" si="1">SUM(C12:C12)</f>
        <v>15915</v>
      </c>
      <c r="D13" s="92">
        <f t="shared" si="1"/>
        <v>15725</v>
      </c>
      <c r="E13" s="91">
        <f t="shared" si="1"/>
        <v>14556</v>
      </c>
      <c r="F13" s="90">
        <f t="shared" si="1"/>
        <v>13559</v>
      </c>
      <c r="G13" s="92">
        <f t="shared" si="1"/>
        <v>15730</v>
      </c>
      <c r="H13" s="92">
        <f t="shared" si="1"/>
        <v>15730</v>
      </c>
    </row>
    <row r="14" spans="1:8" x14ac:dyDescent="0.2">
      <c r="A14" s="39"/>
      <c r="B14" s="82"/>
      <c r="C14" s="82"/>
      <c r="D14" s="73"/>
      <c r="E14" s="50"/>
      <c r="F14" s="49"/>
      <c r="G14" s="73"/>
      <c r="H14" s="73"/>
    </row>
    <row r="15" spans="1:8" x14ac:dyDescent="0.2">
      <c r="A15" s="45" t="s">
        <v>43</v>
      </c>
      <c r="B15" s="14"/>
      <c r="C15" s="14"/>
      <c r="D15" s="73"/>
      <c r="E15" s="50"/>
      <c r="F15" s="49"/>
      <c r="G15" s="73"/>
      <c r="H15" s="73"/>
    </row>
    <row r="16" spans="1:8" x14ac:dyDescent="0.2">
      <c r="A16" s="1" t="s">
        <v>172</v>
      </c>
      <c r="B16" s="1" t="str">
        <f>VLOOKUP(A16,'[1]SQL DATA'!$B:$J,3,FALSE)</f>
        <v>Conditional - Federal - Student Emp</v>
      </c>
      <c r="C16" s="20">
        <f>VLOOKUP(A16,'[1]SQL DATA'!$B:$K,10,FALSE)</f>
        <v>0</v>
      </c>
      <c r="D16" s="73">
        <f>VLOOKUP(A16,'[1]SQL DATA'!$B:$J,9,FALSE)</f>
        <v>0</v>
      </c>
      <c r="E16" s="50">
        <f>VLOOKUP(A16,'[1]SQL DATA'!$B:$J,7,FALSE)</f>
        <v>0</v>
      </c>
      <c r="F16" s="49">
        <f>VLOOKUP(A16,'[1]SQL DATA'!$B:$J,6,FALSE)</f>
        <v>0</v>
      </c>
      <c r="G16" s="73">
        <v>0</v>
      </c>
      <c r="H16" s="73">
        <v>0</v>
      </c>
    </row>
    <row r="17" spans="1:8" x14ac:dyDescent="0.2">
      <c r="A17" s="1" t="s">
        <v>173</v>
      </c>
      <c r="B17" s="1" t="str">
        <f>VLOOKUP(A17,'[1]SQL DATA'!$B:$J,3,FALSE)</f>
        <v>Conditional - Prov - Student Employ</v>
      </c>
      <c r="C17" s="20">
        <f>VLOOKUP(A17,'[1]SQL DATA'!$B:$K,10,FALSE)</f>
        <v>0</v>
      </c>
      <c r="D17" s="83">
        <f>VLOOKUP(A17,'[1]SQL DATA'!$B:$J,9,FALSE)</f>
        <v>0</v>
      </c>
      <c r="E17" s="85">
        <f>VLOOKUP(A17,'[1]SQL DATA'!$B:$J,7,FALSE)</f>
        <v>0</v>
      </c>
      <c r="F17" s="84">
        <f>VLOOKUP(A17,'[1]SQL DATA'!$B:$J,6,FALSE)</f>
        <v>0</v>
      </c>
      <c r="G17" s="83">
        <v>0</v>
      </c>
      <c r="H17" s="83">
        <v>0</v>
      </c>
    </row>
    <row r="18" spans="1:8" x14ac:dyDescent="0.2">
      <c r="A18" s="139" t="s">
        <v>50</v>
      </c>
      <c r="B18" s="82"/>
      <c r="C18" s="59">
        <f>SUM(C16:C17)</f>
        <v>0</v>
      </c>
      <c r="D18" s="73">
        <f>SUM(D16:D17)</f>
        <v>0</v>
      </c>
      <c r="E18" s="50">
        <f>SUM(E16:E17)</f>
        <v>0</v>
      </c>
      <c r="F18" s="49">
        <f>SUM(F16:F17)</f>
        <v>0</v>
      </c>
      <c r="G18" s="73">
        <f t="shared" ref="G18:H18" si="2">SUM(G16:G17)</f>
        <v>0</v>
      </c>
      <c r="H18" s="73">
        <f t="shared" si="2"/>
        <v>0</v>
      </c>
    </row>
    <row r="19" spans="1:8" x14ac:dyDescent="0.2">
      <c r="A19" s="139" t="s">
        <v>174</v>
      </c>
      <c r="B19" s="82"/>
      <c r="C19" s="59">
        <f t="shared" ref="C19:H19" si="3">C13+C18</f>
        <v>15915</v>
      </c>
      <c r="D19" s="59">
        <f t="shared" si="3"/>
        <v>15725</v>
      </c>
      <c r="E19" s="48">
        <f t="shared" si="3"/>
        <v>14556</v>
      </c>
      <c r="F19" s="47">
        <f t="shared" si="3"/>
        <v>13559</v>
      </c>
      <c r="G19" s="59">
        <f t="shared" si="3"/>
        <v>15730</v>
      </c>
      <c r="H19" s="59">
        <f t="shared" si="3"/>
        <v>15730</v>
      </c>
    </row>
    <row r="20" spans="1:8" x14ac:dyDescent="0.2">
      <c r="A20" s="39"/>
      <c r="B20" s="82"/>
      <c r="C20" s="73"/>
      <c r="D20" s="73"/>
      <c r="E20" s="50"/>
      <c r="F20" s="49"/>
      <c r="G20" s="73"/>
      <c r="H20" s="73"/>
    </row>
    <row r="21" spans="1:8" x14ac:dyDescent="0.2">
      <c r="A21" s="51" t="s">
        <v>7</v>
      </c>
      <c r="B21" s="72"/>
      <c r="C21" s="30">
        <f t="shared" ref="C21:G21" si="4">C5+C9+C19</f>
        <v>15915</v>
      </c>
      <c r="D21" s="30">
        <f t="shared" si="4"/>
        <v>15725</v>
      </c>
      <c r="E21" s="19">
        <f t="shared" si="4"/>
        <v>18245</v>
      </c>
      <c r="F21" s="18">
        <f t="shared" si="4"/>
        <v>13559</v>
      </c>
      <c r="G21" s="30">
        <f t="shared" si="4"/>
        <v>19390</v>
      </c>
      <c r="H21" s="30">
        <f>H5+H9+H19</f>
        <v>19390</v>
      </c>
    </row>
    <row r="22" spans="1:8" x14ac:dyDescent="0.2">
      <c r="A22" s="51"/>
      <c r="B22" s="72"/>
      <c r="C22" s="72"/>
      <c r="D22" s="87"/>
      <c r="E22" s="53"/>
      <c r="F22" s="52"/>
      <c r="G22" s="87"/>
      <c r="H22" s="87"/>
    </row>
    <row r="23" spans="1:8" x14ac:dyDescent="0.2">
      <c r="A23" s="7" t="s">
        <v>9</v>
      </c>
      <c r="D23" s="73"/>
      <c r="E23" s="50"/>
      <c r="F23" s="49"/>
      <c r="G23" s="73"/>
      <c r="H23" s="73"/>
    </row>
    <row r="24" spans="1:8" x14ac:dyDescent="0.2">
      <c r="A24" s="45" t="s">
        <v>51</v>
      </c>
      <c r="D24" s="73"/>
      <c r="E24" s="50"/>
      <c r="F24" s="49"/>
      <c r="G24" s="73"/>
      <c r="H24" s="73"/>
    </row>
    <row r="25" spans="1:8" x14ac:dyDescent="0.2">
      <c r="A25" s="1" t="s">
        <v>175</v>
      </c>
      <c r="B25" s="1" t="str">
        <f>VLOOKUP(A25,'[1]SQL DATA'!$B:$J,3,FALSE)</f>
        <v>R&amp;C - Wages</v>
      </c>
      <c r="C25" s="20">
        <f>VLOOKUP(A25,'[1]SQL DATA'!$B:$K,10,FALSE)</f>
        <v>37478.879999999997</v>
      </c>
      <c r="D25" s="20">
        <f>VLOOKUP(A25,'[1]SQL DATA'!$B:$J,9,FALSE)</f>
        <v>36326.74</v>
      </c>
      <c r="E25" s="16">
        <f>VLOOKUP(A25,'[1]SQL DATA'!$B:$J,7,FALSE)</f>
        <v>44164.83</v>
      </c>
      <c r="F25" s="15">
        <f>VLOOKUP(A25,'[1]SQL DATA'!$B:$J,6,FALSE)</f>
        <v>35158.410000000003</v>
      </c>
      <c r="G25" s="73">
        <v>46000</v>
      </c>
      <c r="H25" s="73">
        <v>49890</v>
      </c>
    </row>
    <row r="26" spans="1:8" x14ac:dyDescent="0.2">
      <c r="A26" s="1" t="s">
        <v>176</v>
      </c>
      <c r="B26" s="1" t="str">
        <f>VLOOKUP(A26,'[1]SQL DATA'!$B:$J,3,FALSE)</f>
        <v>R&amp;C - Benefits</v>
      </c>
      <c r="C26" s="20">
        <f>VLOOKUP(A26,'[1]SQL DATA'!$B:$K,10,FALSE)</f>
        <v>7560.27</v>
      </c>
      <c r="D26" s="20">
        <f>VLOOKUP(A26,'[1]SQL DATA'!$B:$J,9,FALSE)</f>
        <v>5588.4</v>
      </c>
      <c r="E26" s="16">
        <f>VLOOKUP(A26,'[1]SQL DATA'!$B:$J,7,FALSE)</f>
        <v>14658.11</v>
      </c>
      <c r="F26" s="15">
        <f>VLOOKUP(A26,'[1]SQL DATA'!$B:$J,6,FALSE)</f>
        <v>5233.87</v>
      </c>
      <c r="G26" s="73">
        <v>9930</v>
      </c>
      <c r="H26" s="73">
        <v>10980</v>
      </c>
    </row>
    <row r="27" spans="1:8" x14ac:dyDescent="0.2">
      <c r="A27" s="9" t="s">
        <v>58</v>
      </c>
      <c r="B27" s="82"/>
      <c r="C27" s="92">
        <f t="shared" ref="C27:H27" si="5">SUM(C25:C26)</f>
        <v>45039.149999999994</v>
      </c>
      <c r="D27" s="92">
        <f t="shared" si="5"/>
        <v>41915.14</v>
      </c>
      <c r="E27" s="91">
        <f t="shared" si="5"/>
        <v>58822.94</v>
      </c>
      <c r="F27" s="90">
        <f t="shared" si="5"/>
        <v>40392.280000000006</v>
      </c>
      <c r="G27" s="92">
        <f t="shared" si="5"/>
        <v>55930</v>
      </c>
      <c r="H27" s="92">
        <f t="shared" si="5"/>
        <v>60870</v>
      </c>
    </row>
    <row r="28" spans="1:8" x14ac:dyDescent="0.2">
      <c r="A28" s="1" t="s">
        <v>8</v>
      </c>
      <c r="D28" s="73"/>
      <c r="E28" s="50"/>
      <c r="F28" s="49"/>
      <c r="G28" s="73"/>
      <c r="H28" s="73"/>
    </row>
    <row r="29" spans="1:8" x14ac:dyDescent="0.2">
      <c r="A29" s="45" t="s">
        <v>67</v>
      </c>
      <c r="D29" s="73"/>
      <c r="E29" s="50"/>
      <c r="F29" s="49"/>
      <c r="G29" s="73"/>
      <c r="H29" s="73"/>
    </row>
    <row r="30" spans="1:8" x14ac:dyDescent="0.2">
      <c r="A30" s="1" t="s">
        <v>177</v>
      </c>
      <c r="B30" s="1" t="str">
        <f>VLOOKUP(A30,'[1]SQL DATA'!$B:$J,3,FALSE)</f>
        <v>R&amp;C - Cont. - Phone - RD/FM</v>
      </c>
      <c r="C30" s="20">
        <f>VLOOKUP(A30,'[1]SQL DATA'!$B:$K,10,FALSE)</f>
        <v>1768.46</v>
      </c>
      <c r="D30" s="20">
        <f>VLOOKUP(A30,'[1]SQL DATA'!$B:$J,9,FALSE)</f>
        <v>1856.87</v>
      </c>
      <c r="E30" s="16">
        <f>VLOOKUP(A30,'[1]SQL DATA'!$B:$J,7,FALSE)</f>
        <v>2316.96</v>
      </c>
      <c r="F30" s="15">
        <f>VLOOKUP(A30,'[1]SQL DATA'!$B:$J,6,FALSE)</f>
        <v>1364.99</v>
      </c>
      <c r="G30" s="73">
        <v>2200</v>
      </c>
      <c r="H30" s="73">
        <v>2300</v>
      </c>
    </row>
    <row r="31" spans="1:8" x14ac:dyDescent="0.2">
      <c r="A31" s="9" t="s">
        <v>72</v>
      </c>
      <c r="B31" s="82"/>
      <c r="C31" s="92">
        <f t="shared" ref="C31:H31" si="6">+C30</f>
        <v>1768.46</v>
      </c>
      <c r="D31" s="92">
        <f t="shared" si="6"/>
        <v>1856.87</v>
      </c>
      <c r="E31" s="91">
        <f t="shared" si="6"/>
        <v>2316.96</v>
      </c>
      <c r="F31" s="90">
        <f t="shared" si="6"/>
        <v>1364.99</v>
      </c>
      <c r="G31" s="92">
        <f t="shared" si="6"/>
        <v>2200</v>
      </c>
      <c r="H31" s="92">
        <f t="shared" si="6"/>
        <v>2300</v>
      </c>
    </row>
    <row r="32" spans="1:8" x14ac:dyDescent="0.2">
      <c r="A32" s="1" t="s">
        <v>8</v>
      </c>
      <c r="D32" s="73"/>
      <c r="E32" s="50"/>
      <c r="F32" s="49"/>
      <c r="G32" s="73"/>
      <c r="H32" s="73"/>
    </row>
    <row r="33" spans="1:8" x14ac:dyDescent="0.2">
      <c r="A33" s="45" t="s">
        <v>111</v>
      </c>
      <c r="D33" s="73"/>
      <c r="E33" s="50"/>
      <c r="F33" s="49"/>
      <c r="G33" s="73"/>
      <c r="H33" s="73"/>
    </row>
    <row r="34" spans="1:8" x14ac:dyDescent="0.2">
      <c r="A34" s="1" t="s">
        <v>178</v>
      </c>
      <c r="B34" s="1" t="str">
        <f>VLOOKUP(A34,'[1]SQL DATA'!$B:$J,3,FALSE)</f>
        <v>R&amp;C - Cont. - Advertising</v>
      </c>
      <c r="C34" s="20">
        <f>VLOOKUP(A34,'[1]SQL DATA'!$B:$K,10,FALSE)</f>
        <v>280.5</v>
      </c>
      <c r="D34" s="20">
        <f>VLOOKUP(A34,'[1]SQL DATA'!$B:$J,9,FALSE)</f>
        <v>0</v>
      </c>
      <c r="E34" s="16">
        <f>VLOOKUP(A34,'[1]SQL DATA'!$B:$J,7,FALSE)</f>
        <v>409.88</v>
      </c>
      <c r="F34" s="15">
        <f>VLOOKUP(A34,'[1]SQL DATA'!$B:$J,6,FALSE)</f>
        <v>400.87</v>
      </c>
      <c r="G34" s="73">
        <v>1500</v>
      </c>
      <c r="H34" s="73">
        <v>1500</v>
      </c>
    </row>
    <row r="35" spans="1:8" x14ac:dyDescent="0.2">
      <c r="A35" s="1" t="s">
        <v>179</v>
      </c>
      <c r="B35" s="1" t="str">
        <f>VLOOKUP(A35,'[1]SQL DATA'!$B:$J,3,FALSE)</f>
        <v>R&amp;C - Cont. - Memberships/Subscript - RD</v>
      </c>
      <c r="C35" s="20">
        <f>VLOOKUP(A35,'[1]SQL DATA'!$B:$K,10,FALSE)</f>
        <v>115</v>
      </c>
      <c r="D35" s="20">
        <f>VLOOKUP(A35,'[1]SQL DATA'!$B:$J,9,FALSE)</f>
        <v>115</v>
      </c>
      <c r="E35" s="16">
        <f>VLOOKUP(A35,'[1]SQL DATA'!$B:$J,7,FALSE)</f>
        <v>8396.2900000000009</v>
      </c>
      <c r="F35" s="15">
        <f>VLOOKUP(A35,'[1]SQL DATA'!$B:$J,6,FALSE)</f>
        <v>3374.74</v>
      </c>
      <c r="G35" s="73">
        <v>9220</v>
      </c>
      <c r="H35" s="73">
        <v>5500</v>
      </c>
    </row>
    <row r="36" spans="1:8" x14ac:dyDescent="0.2">
      <c r="A36" s="1" t="s">
        <v>180</v>
      </c>
      <c r="B36" s="1" t="str">
        <f>VLOOKUP(A36,'[1]SQL DATA'!$B:$J,3,FALSE)</f>
        <v>R&amp;C - Cont. - Conference Fees/Train - RD</v>
      </c>
      <c r="C36" s="20">
        <f>VLOOKUP(A36,'[1]SQL DATA'!$B:$K,10,FALSE)</f>
        <v>1792.21</v>
      </c>
      <c r="D36" s="20">
        <f>VLOOKUP(A36,'[1]SQL DATA'!$B:$J,9,FALSE)</f>
        <v>157.5</v>
      </c>
      <c r="E36" s="16">
        <f>VLOOKUP(A36,'[1]SQL DATA'!$B:$J,7,FALSE)</f>
        <v>530</v>
      </c>
      <c r="F36" s="15">
        <f>VLOOKUP(A36,'[1]SQL DATA'!$B:$J,6,FALSE)</f>
        <v>1217.3900000000001</v>
      </c>
      <c r="G36" s="73">
        <v>2000</v>
      </c>
      <c r="H36" s="73">
        <v>2000</v>
      </c>
    </row>
    <row r="37" spans="1:8" x14ac:dyDescent="0.2">
      <c r="A37" s="1" t="s">
        <v>181</v>
      </c>
      <c r="B37" s="1" t="str">
        <f>VLOOKUP(A37,'[1]SQL DATA'!$B:$J,3,FALSE)</f>
        <v>R&amp;C - Office Supplies</v>
      </c>
      <c r="C37" s="20">
        <f>VLOOKUP(A37,'[1]SQL DATA'!$B:$K,10,FALSE)</f>
        <v>3374</v>
      </c>
      <c r="D37" s="20">
        <f>VLOOKUP(A37,'[1]SQL DATA'!$B:$J,9,FALSE)</f>
        <v>3610.71</v>
      </c>
      <c r="E37" s="16">
        <f>VLOOKUP(A37,'[1]SQL DATA'!$B:$J,7,FALSE)</f>
        <v>3500</v>
      </c>
      <c r="F37" s="15">
        <f>VLOOKUP(A37,'[1]SQL DATA'!$B:$J,6,FALSE)</f>
        <v>2041.62</v>
      </c>
      <c r="G37" s="73">
        <v>3500</v>
      </c>
      <c r="H37" s="73">
        <v>3500</v>
      </c>
    </row>
    <row r="38" spans="1:8" x14ac:dyDescent="0.2">
      <c r="A38" s="1" t="s">
        <v>182</v>
      </c>
      <c r="B38" s="1" t="str">
        <f>VLOOKUP(A38,'[1]SQL DATA'!$B:$J,3,FALSE)</f>
        <v>R&amp;C - Discretionary Fund</v>
      </c>
      <c r="C38" s="20">
        <f>VLOOKUP(A38,'[1]SQL DATA'!$B:$K,10,FALSE)</f>
        <v>0</v>
      </c>
      <c r="D38" s="20">
        <f>VLOOKUP(A38,'[1]SQL DATA'!$B:$J,9,FALSE)</f>
        <v>0</v>
      </c>
      <c r="E38" s="16">
        <f>VLOOKUP(A38,'[1]SQL DATA'!$B:$J,7,FALSE)</f>
        <v>1765.49</v>
      </c>
      <c r="F38" s="15">
        <f>VLOOKUP(A38,'[1]SQL DATA'!$B:$J,6,FALSE)</f>
        <v>223.49</v>
      </c>
      <c r="G38" s="73">
        <v>3000</v>
      </c>
      <c r="H38" s="73">
        <v>3000</v>
      </c>
    </row>
    <row r="39" spans="1:8" x14ac:dyDescent="0.2">
      <c r="A39" s="1" t="s">
        <v>183</v>
      </c>
      <c r="B39" s="1" t="str">
        <f>VLOOKUP(A39,'[1]SQL DATA'!$B:$J,3,FALSE)</f>
        <v>R&amp;C - Program Supplies - Rec Director</v>
      </c>
      <c r="C39" s="20">
        <f>VLOOKUP(A39,'[1]SQL DATA'!$B:$K,10,FALSE)</f>
        <v>514.22</v>
      </c>
      <c r="D39" s="20">
        <f>VLOOKUP(A39,'[1]SQL DATA'!$B:$J,9,FALSE)</f>
        <v>209.79</v>
      </c>
      <c r="E39" s="16">
        <f>VLOOKUP(A39,'[1]SQL DATA'!$B:$J,7,FALSE)</f>
        <v>453.69</v>
      </c>
      <c r="F39" s="15">
        <f>VLOOKUP(A39,'[1]SQL DATA'!$B:$J,6,FALSE)</f>
        <v>0</v>
      </c>
      <c r="G39" s="73">
        <v>500</v>
      </c>
      <c r="H39" s="73">
        <v>500</v>
      </c>
    </row>
    <row r="40" spans="1:8" x14ac:dyDescent="0.2">
      <c r="A40" s="1" t="s">
        <v>184</v>
      </c>
      <c r="B40" s="1" t="str">
        <f>VLOOKUP(A40,'[1]SQL DATA'!$B:$J,3,FALSE)</f>
        <v>R&amp;C - Other</v>
      </c>
      <c r="C40" s="20">
        <f>VLOOKUP(A40,'[1]SQL DATA'!$B:$K,10,FALSE)</f>
        <v>0</v>
      </c>
      <c r="D40" s="20">
        <f>VLOOKUP(A40,'[1]SQL DATA'!$B:$J,9,FALSE)</f>
        <v>0</v>
      </c>
      <c r="E40" s="16">
        <f>VLOOKUP(A40,'[1]SQL DATA'!$B:$J,7,FALSE)</f>
        <v>0</v>
      </c>
      <c r="F40" s="15">
        <f>VLOOKUP(A40,'[1]SQL DATA'!$B:$J,6,FALSE)</f>
        <v>0</v>
      </c>
      <c r="G40" s="73">
        <v>0</v>
      </c>
      <c r="H40" s="73">
        <v>0</v>
      </c>
    </row>
    <row r="41" spans="1:8" x14ac:dyDescent="0.2">
      <c r="A41" s="9" t="s">
        <v>85</v>
      </c>
      <c r="B41" s="81"/>
      <c r="C41" s="92">
        <f t="shared" ref="C41:H41" si="7">SUM(C34:C40)</f>
        <v>6075.93</v>
      </c>
      <c r="D41" s="92">
        <f t="shared" si="7"/>
        <v>4093</v>
      </c>
      <c r="E41" s="91">
        <f t="shared" si="7"/>
        <v>15055.35</v>
      </c>
      <c r="F41" s="90">
        <f t="shared" si="7"/>
        <v>7258.11</v>
      </c>
      <c r="G41" s="92">
        <f t="shared" si="7"/>
        <v>19720</v>
      </c>
      <c r="H41" s="92">
        <f t="shared" si="7"/>
        <v>16000</v>
      </c>
    </row>
    <row r="42" spans="1:8" x14ac:dyDescent="0.2">
      <c r="A42" s="1" t="s">
        <v>8</v>
      </c>
      <c r="D42" s="73"/>
      <c r="E42" s="50"/>
      <c r="F42" s="49"/>
      <c r="G42" s="73"/>
      <c r="H42" s="73"/>
    </row>
    <row r="43" spans="1:8" x14ac:dyDescent="0.2">
      <c r="A43" s="45" t="s">
        <v>86</v>
      </c>
      <c r="D43" s="73"/>
      <c r="E43" s="50"/>
      <c r="F43" s="49"/>
      <c r="G43" s="73"/>
      <c r="H43" s="73"/>
    </row>
    <row r="44" spans="1:8" x14ac:dyDescent="0.2">
      <c r="A44" s="1" t="s">
        <v>185</v>
      </c>
      <c r="B44" s="1" t="str">
        <f>VLOOKUP(A44,'[1]SQL DATA'!$B:$J,3,FALSE)</f>
        <v>R&amp;C - Grants and Contributions - Lottery</v>
      </c>
      <c r="C44" s="20">
        <f>VLOOKUP(A44,'[1]SQL DATA'!$B:$K,10,FALSE)</f>
        <v>12797.86</v>
      </c>
      <c r="D44" s="20">
        <f>VLOOKUP(A44,'[1]SQL DATA'!$B:$J,9,FALSE)</f>
        <v>10000</v>
      </c>
      <c r="E44" s="16">
        <f>VLOOKUP(A44,'[1]SQL DATA'!$B:$J,7,FALSE)</f>
        <v>18245</v>
      </c>
      <c r="F44" s="15">
        <f>VLOOKUP(A44,'[1]SQL DATA'!$B:$J,6,FALSE)</f>
        <v>2400</v>
      </c>
      <c r="G44" s="73">
        <v>19390</v>
      </c>
      <c r="H44" s="73">
        <v>19390</v>
      </c>
    </row>
    <row r="45" spans="1:8" x14ac:dyDescent="0.2">
      <c r="A45" s="9" t="s">
        <v>88</v>
      </c>
      <c r="B45" s="82"/>
      <c r="C45" s="92">
        <f>SUM(C44)</f>
        <v>12797.86</v>
      </c>
      <c r="D45" s="92">
        <f>SUM(D44)</f>
        <v>10000</v>
      </c>
      <c r="E45" s="91">
        <f t="shared" ref="E45:H45" si="8">SUM(E44)</f>
        <v>18245</v>
      </c>
      <c r="F45" s="90">
        <f t="shared" si="8"/>
        <v>2400</v>
      </c>
      <c r="G45" s="92">
        <f t="shared" si="8"/>
        <v>19390</v>
      </c>
      <c r="H45" s="92">
        <f t="shared" si="8"/>
        <v>19390</v>
      </c>
    </row>
    <row r="46" spans="1:8" x14ac:dyDescent="0.2">
      <c r="A46" s="1" t="s">
        <v>8</v>
      </c>
      <c r="D46" s="73"/>
      <c r="E46" s="50"/>
      <c r="F46" s="49"/>
      <c r="G46" s="73"/>
      <c r="H46" s="73"/>
    </row>
    <row r="47" spans="1:8" x14ac:dyDescent="0.2">
      <c r="A47" s="37" t="s">
        <v>89</v>
      </c>
      <c r="D47" s="73"/>
      <c r="E47" s="50"/>
      <c r="F47" s="49"/>
      <c r="G47" s="73"/>
      <c r="H47" s="73"/>
    </row>
    <row r="48" spans="1:8" x14ac:dyDescent="0.2">
      <c r="A48" s="45" t="s">
        <v>186</v>
      </c>
      <c r="B48" s="1" t="str">
        <f>VLOOKUP(A48,'[1]SQL DATA'!$B:$J,3,FALSE)</f>
        <v>R&amp;C - Amortization Expense - RD</v>
      </c>
      <c r="C48" s="20">
        <f>VLOOKUP(A48,'[1]SQL DATA'!$B:$K,10,FALSE)</f>
        <v>15533</v>
      </c>
      <c r="D48" s="20">
        <f>VLOOKUP(A48,'[1]SQL DATA'!$B:$J,9,FALSE)</f>
        <v>0</v>
      </c>
      <c r="E48" s="16">
        <f>VLOOKUP(A48,'[1]SQL DATA'!$B:$J,7,FALSE)</f>
        <v>28527.360000000001</v>
      </c>
      <c r="F48" s="15">
        <f>VLOOKUP(A48,'[1]SQL DATA'!$B:$J,6,FALSE)</f>
        <v>0</v>
      </c>
      <c r="G48" s="73">
        <v>0</v>
      </c>
      <c r="H48" s="73">
        <v>0</v>
      </c>
    </row>
    <row r="49" spans="1:10" x14ac:dyDescent="0.2">
      <c r="A49" s="9" t="s">
        <v>91</v>
      </c>
      <c r="B49" s="81"/>
      <c r="C49" s="92">
        <f t="shared" ref="C49:H49" si="9">+C48</f>
        <v>15533</v>
      </c>
      <c r="D49" s="92">
        <f t="shared" si="9"/>
        <v>0</v>
      </c>
      <c r="E49" s="91">
        <f t="shared" si="9"/>
        <v>28527.360000000001</v>
      </c>
      <c r="F49" s="90">
        <f t="shared" si="9"/>
        <v>0</v>
      </c>
      <c r="G49" s="92">
        <f t="shared" si="9"/>
        <v>0</v>
      </c>
      <c r="H49" s="92">
        <f t="shared" si="9"/>
        <v>0</v>
      </c>
    </row>
    <row r="50" spans="1:10" x14ac:dyDescent="0.2">
      <c r="A50" s="9"/>
      <c r="B50" s="81"/>
      <c r="C50" s="81"/>
      <c r="D50" s="73"/>
      <c r="E50" s="50"/>
      <c r="F50" s="49"/>
      <c r="G50" s="73"/>
      <c r="H50" s="73"/>
    </row>
    <row r="51" spans="1:10" x14ac:dyDescent="0.2">
      <c r="A51" s="37" t="s">
        <v>95</v>
      </c>
      <c r="D51" s="73"/>
      <c r="E51" s="50"/>
      <c r="F51" s="49"/>
      <c r="G51" s="73"/>
      <c r="H51" s="73"/>
    </row>
    <row r="52" spans="1:10" x14ac:dyDescent="0.2">
      <c r="A52" s="45" t="s">
        <v>187</v>
      </c>
      <c r="B52" s="1" t="str">
        <f>VLOOKUP(A52,'[1]SQL DATA'!$B:$J,3,FALSE)</f>
        <v>R&amp;C - Cont. - Travel, Meal &amp; Subsistence</v>
      </c>
      <c r="C52" s="20">
        <f>VLOOKUP(A52,'[1]SQL DATA'!$B:$K,10,FALSE)</f>
        <v>809.15</v>
      </c>
      <c r="D52" s="20">
        <f>VLOOKUP(A52,'[1]SQL DATA'!$B:$J,9,FALSE)</f>
        <v>1746</v>
      </c>
      <c r="E52" s="16">
        <f>VLOOKUP(A52,'[1]SQL DATA'!$B:$J,7,FALSE)</f>
        <v>1330</v>
      </c>
      <c r="F52" s="15">
        <f>VLOOKUP(A52,'[1]SQL DATA'!$B:$J,6,FALSE)</f>
        <v>1279</v>
      </c>
      <c r="G52" s="73">
        <v>2500</v>
      </c>
      <c r="H52" s="73">
        <v>2500</v>
      </c>
    </row>
    <row r="53" spans="1:10" x14ac:dyDescent="0.2">
      <c r="A53" s="45" t="s">
        <v>98</v>
      </c>
      <c r="B53" s="82"/>
      <c r="C53" s="92">
        <f>SUM(C52)</f>
        <v>809.15</v>
      </c>
      <c r="D53" s="92">
        <f>SUM(D52)</f>
        <v>1746</v>
      </c>
      <c r="E53" s="91">
        <f t="shared" ref="E53:H53" si="10">SUM(E52)</f>
        <v>1330</v>
      </c>
      <c r="F53" s="90">
        <f t="shared" si="10"/>
        <v>1279</v>
      </c>
      <c r="G53" s="92">
        <f t="shared" si="10"/>
        <v>2500</v>
      </c>
      <c r="H53" s="92">
        <f t="shared" si="10"/>
        <v>2500</v>
      </c>
    </row>
    <row r="54" spans="1:10" x14ac:dyDescent="0.2">
      <c r="A54" s="45"/>
      <c r="B54" s="82"/>
      <c r="C54" s="82"/>
      <c r="D54" s="73"/>
      <c r="E54" s="50"/>
      <c r="F54" s="49"/>
      <c r="G54" s="73"/>
      <c r="H54" s="73"/>
    </row>
    <row r="55" spans="1:10" x14ac:dyDescent="0.2">
      <c r="A55" s="63" t="s">
        <v>188</v>
      </c>
      <c r="B55" s="64" t="str">
        <f>VLOOKUP(A55,'[1]SQL DATA'!$B:$J,3,FALSE)</f>
        <v>Transfer to Reserves - Rec Director</v>
      </c>
      <c r="C55" s="65">
        <f>VLOOKUP(A55,'[1]SQL DATA'!$B:$K,10,FALSE)</f>
        <v>0</v>
      </c>
      <c r="D55" s="65">
        <f>VLOOKUP(A55,'[1]SQL DATA'!$B:$J,9,FALSE)</f>
        <v>0</v>
      </c>
      <c r="E55" s="65">
        <f>VLOOKUP(A55,'[1]SQL DATA'!$B:$J,7,FALSE)</f>
        <v>0</v>
      </c>
      <c r="F55" s="65">
        <f>VLOOKUP(A55,'[1]SQL DATA'!$B:$J,6,FALSE)</f>
        <v>0</v>
      </c>
      <c r="G55" s="140">
        <v>0</v>
      </c>
      <c r="H55" s="140">
        <v>0</v>
      </c>
    </row>
    <row r="56" spans="1:10" x14ac:dyDescent="0.2">
      <c r="A56" s="45"/>
      <c r="D56" s="20"/>
      <c r="E56" s="16"/>
      <c r="F56" s="15"/>
      <c r="G56" s="73"/>
      <c r="H56" s="73"/>
    </row>
    <row r="57" spans="1:10" x14ac:dyDescent="0.2">
      <c r="A57" s="34" t="s">
        <v>21</v>
      </c>
      <c r="B57" s="72"/>
      <c r="C57" s="30">
        <f t="shared" ref="C57:G57" si="11">C27+C31+C41+C45+C49+C53+C55</f>
        <v>82023.549999999988</v>
      </c>
      <c r="D57" s="30">
        <f t="shared" si="11"/>
        <v>59611.01</v>
      </c>
      <c r="E57" s="19">
        <f t="shared" si="11"/>
        <v>124297.61</v>
      </c>
      <c r="F57" s="18">
        <f t="shared" si="11"/>
        <v>52694.380000000005</v>
      </c>
      <c r="G57" s="30">
        <f t="shared" si="11"/>
        <v>99740</v>
      </c>
      <c r="H57" s="30">
        <f>H27+H31+H41+H45+H53+H55</f>
        <v>101060</v>
      </c>
    </row>
    <row r="58" spans="1:10" x14ac:dyDescent="0.2">
      <c r="A58" s="34"/>
      <c r="B58" s="72"/>
      <c r="C58" s="72"/>
      <c r="D58" s="87"/>
      <c r="E58" s="53"/>
      <c r="F58" s="52"/>
      <c r="G58" s="87"/>
      <c r="H58" s="87"/>
    </row>
    <row r="59" spans="1:10" ht="13.5" thickBot="1" x14ac:dyDescent="0.25">
      <c r="A59" s="34" t="s">
        <v>22</v>
      </c>
      <c r="B59" s="72"/>
      <c r="C59" s="69">
        <f>(+C21)-C57</f>
        <v>-66108.549999999988</v>
      </c>
      <c r="D59" s="69">
        <f>(+D21)-D57</f>
        <v>-43886.01</v>
      </c>
      <c r="E59" s="70">
        <f t="shared" ref="E59:H59" si="12">(+E21)-E57</f>
        <v>-106052.61</v>
      </c>
      <c r="F59" s="69">
        <f t="shared" si="12"/>
        <v>-39135.380000000005</v>
      </c>
      <c r="G59" s="69">
        <f t="shared" si="12"/>
        <v>-80350</v>
      </c>
      <c r="H59" s="69">
        <f t="shared" si="12"/>
        <v>-81670</v>
      </c>
      <c r="I59" s="24"/>
      <c r="J59" s="14"/>
    </row>
    <row r="60" spans="1:10" ht="13.5" thickTop="1" x14ac:dyDescent="0.2"/>
  </sheetData>
  <pageMargins left="0.74803149606299213" right="0.74803149606299213" top="0.59055118110236227" bottom="0.74803149606299213" header="3.937007874015748E-2" footer="3.937007874015748E-2"/>
  <pageSetup scale="87" pageOrder="overThenDown" orientation="portrait" r:id="rId1"/>
  <headerFooter>
    <oddHeader>&amp;C&amp;"Calibri,Bold"&amp;10TOWN OF SHELLBROOK&amp;"Calibri,Regular"
Rec Director/Facility Manager</oddHeader>
    <oddFooter>&amp;L&amp;P of &amp;N &amp;C&amp;R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2EB9D-7364-49A5-A52F-446D62BF3402}">
  <dimension ref="A1:J101"/>
  <sheetViews>
    <sheetView topLeftCell="A49" zoomScale="150" zoomScaleNormal="150" zoomScalePageLayoutView="90" workbookViewId="0">
      <selection activeCell="G9" sqref="G9"/>
    </sheetView>
  </sheetViews>
  <sheetFormatPr defaultColWidth="8.85546875" defaultRowHeight="12.75" x14ac:dyDescent="0.2"/>
  <cols>
    <col min="1" max="1" width="11.85546875" style="1" customWidth="1"/>
    <col min="2" max="2" width="34.7109375" style="1" bestFit="1" customWidth="1"/>
    <col min="3" max="3" width="8.5703125" style="1" bestFit="1" customWidth="1"/>
    <col min="4" max="4" width="9.140625" style="1" bestFit="1" customWidth="1"/>
    <col min="5" max="6" width="8.5703125" style="1" bestFit="1" customWidth="1"/>
    <col min="7" max="7" width="8.5703125" style="1" customWidth="1"/>
    <col min="8" max="8" width="9" style="1" customWidth="1"/>
    <col min="9" max="9" width="8.7109375" style="1" customWidth="1"/>
    <col min="10" max="16384" width="8.85546875" style="1"/>
  </cols>
  <sheetData>
    <row r="1" spans="1:8" x14ac:dyDescent="0.2">
      <c r="B1" s="71"/>
      <c r="C1" s="2">
        <v>2019</v>
      </c>
      <c r="D1" s="2">
        <v>2020</v>
      </c>
      <c r="E1" s="3">
        <v>2021</v>
      </c>
      <c r="F1" s="2">
        <v>2022</v>
      </c>
      <c r="G1" s="2">
        <v>2021</v>
      </c>
      <c r="H1" s="2">
        <v>2022</v>
      </c>
    </row>
    <row r="2" spans="1:8" x14ac:dyDescent="0.2">
      <c r="B2" s="2"/>
      <c r="C2" s="4" t="s">
        <v>0</v>
      </c>
      <c r="D2" s="5" t="s">
        <v>0</v>
      </c>
      <c r="E2" s="6" t="s">
        <v>0</v>
      </c>
      <c r="F2" s="5" t="s">
        <v>0</v>
      </c>
      <c r="G2" s="5" t="s">
        <v>1</v>
      </c>
      <c r="H2" s="5" t="s">
        <v>1</v>
      </c>
    </row>
    <row r="3" spans="1:8" x14ac:dyDescent="0.2">
      <c r="A3" s="7" t="s">
        <v>2</v>
      </c>
      <c r="E3" s="8"/>
    </row>
    <row r="4" spans="1:8" x14ac:dyDescent="0.2">
      <c r="A4" s="1" t="s">
        <v>189</v>
      </c>
      <c r="B4" s="1" t="str">
        <f>VLOOKUP(A4,'[1]SQL DATA'!$B:$J,3,FALSE)</f>
        <v>Transfer from Reserves - Rec Centre</v>
      </c>
      <c r="C4" s="20">
        <f>VLOOKUP(A4,'[1]SQL DATA'!$B:$K,10,FALSE)</f>
        <v>20000</v>
      </c>
      <c r="D4" s="20">
        <f>VLOOKUP(A4,'[1]SQL DATA'!$B:$J,9,FALSE)</f>
        <v>50000</v>
      </c>
      <c r="E4" s="16">
        <f>VLOOKUP(A4,'[1]SQL DATA'!$B:$J,7,FALSE)</f>
        <v>66759.27</v>
      </c>
      <c r="F4" s="15">
        <f>VLOOKUP(A4,'[1]SQL DATA'!$B:$J,6,FALSE)</f>
        <v>0</v>
      </c>
      <c r="G4" s="141">
        <v>62590</v>
      </c>
      <c r="H4" s="141">
        <v>49000</v>
      </c>
    </row>
    <row r="5" spans="1:8" x14ac:dyDescent="0.2">
      <c r="A5" s="55" t="s">
        <v>27</v>
      </c>
      <c r="B5" s="45"/>
      <c r="C5" s="126">
        <f t="shared" ref="C5:H5" si="0">+C4</f>
        <v>20000</v>
      </c>
      <c r="D5" s="126">
        <f t="shared" si="0"/>
        <v>50000</v>
      </c>
      <c r="E5" s="127">
        <f t="shared" si="0"/>
        <v>66759.27</v>
      </c>
      <c r="F5" s="128">
        <f t="shared" si="0"/>
        <v>0</v>
      </c>
      <c r="G5" s="126">
        <f t="shared" si="0"/>
        <v>62590</v>
      </c>
      <c r="H5" s="126">
        <f t="shared" si="0"/>
        <v>49000</v>
      </c>
    </row>
    <row r="6" spans="1:8" x14ac:dyDescent="0.2">
      <c r="A6" s="7"/>
      <c r="D6" s="73"/>
      <c r="E6" s="50"/>
      <c r="F6" s="49"/>
      <c r="G6" s="73"/>
      <c r="H6" s="73"/>
    </row>
    <row r="7" spans="1:8" x14ac:dyDescent="0.2">
      <c r="A7" s="7" t="s">
        <v>190</v>
      </c>
      <c r="D7" s="73"/>
      <c r="E7" s="50"/>
      <c r="F7" s="49"/>
      <c r="G7" s="73"/>
      <c r="H7" s="73"/>
    </row>
    <row r="8" spans="1:8" x14ac:dyDescent="0.2">
      <c r="A8" s="1" t="s">
        <v>191</v>
      </c>
      <c r="B8" s="1" t="str">
        <f>VLOOKUP(A8,'[1]SQL DATA'!$B:$J,3,FALSE)</f>
        <v>F&amp;C - Sale of Supplies &amp; Equip - Rink</v>
      </c>
      <c r="C8" s="20">
        <f>VLOOKUP(A8,'[1]SQL DATA'!$B:$K,10,FALSE)</f>
        <v>5000</v>
      </c>
      <c r="D8" s="20">
        <f>VLOOKUP(A8,'[1]SQL DATA'!$B:$J,9,FALSE)</f>
        <v>20.8</v>
      </c>
      <c r="E8" s="16">
        <f>VLOOKUP(A8,'[1]SQL DATA'!$B:$J,7,FALSE)</f>
        <v>37.5</v>
      </c>
      <c r="F8" s="15">
        <f>VLOOKUP(A8,'[1]SQL DATA'!$B:$J,6,FALSE)</f>
        <v>0</v>
      </c>
      <c r="G8" s="73">
        <v>0</v>
      </c>
      <c r="H8" s="73">
        <v>0</v>
      </c>
    </row>
    <row r="9" spans="1:8" x14ac:dyDescent="0.2">
      <c r="A9" s="1" t="s">
        <v>192</v>
      </c>
      <c r="B9" s="1" t="str">
        <f>VLOOKUP(A9,'[1]SQL DATA'!$B:$J,3,FALSE)</f>
        <v>F&amp;C - Rec Centre Fees - Canteen Lease</v>
      </c>
      <c r="C9" s="20">
        <f>VLOOKUP(A9,'[1]SQL DATA'!$B:$K,10,FALSE)</f>
        <v>0</v>
      </c>
      <c r="D9" s="20">
        <f>VLOOKUP(A9,'[1]SQL DATA'!$B:$J,9,FALSE)</f>
        <v>0</v>
      </c>
      <c r="E9" s="16">
        <f>VLOOKUP(A9,'[1]SQL DATA'!$B:$J,7,FALSE)</f>
        <v>1950</v>
      </c>
      <c r="F9" s="15">
        <f>VLOOKUP(A9,'[1]SQL DATA'!$B:$J,6,FALSE)</f>
        <v>1950</v>
      </c>
      <c r="G9" s="73">
        <v>0</v>
      </c>
      <c r="H9" s="73">
        <f>(650*3)+(650*4)</f>
        <v>4550</v>
      </c>
    </row>
    <row r="10" spans="1:8" x14ac:dyDescent="0.2">
      <c r="A10" s="1" t="s">
        <v>193</v>
      </c>
      <c r="B10" s="1" t="str">
        <f>VLOOKUP(A10,'[1]SQL DATA'!$B:$J,3,FALSE)</f>
        <v>F&amp;C - Rec Program Fees - Ice Rental</v>
      </c>
      <c r="C10" s="20">
        <f>VLOOKUP(A10,'[1]SQL DATA'!$B:$K,10,FALSE)</f>
        <v>40703.74</v>
      </c>
      <c r="D10" s="20">
        <f>VLOOKUP(A10,'[1]SQL DATA'!$B:$J,9,FALSE)</f>
        <v>93421.19</v>
      </c>
      <c r="E10" s="16">
        <f>VLOOKUP(A10,'[1]SQL DATA'!$B:$J,7,FALSE)</f>
        <v>101931.3</v>
      </c>
      <c r="F10" s="15">
        <f>VLOOKUP(A10,'[1]SQL DATA'!$B:$J,6,FALSE)</f>
        <v>56541.49</v>
      </c>
      <c r="G10" s="49">
        <v>105000</v>
      </c>
      <c r="H10" s="49">
        <f>2100+105000</f>
        <v>107100</v>
      </c>
    </row>
    <row r="11" spans="1:8" x14ac:dyDescent="0.2">
      <c r="A11" s="1" t="s">
        <v>194</v>
      </c>
      <c r="B11" s="1" t="str">
        <f>VLOOKUP(A11,'[1]SQL DATA'!$B:$J,3,FALSE)</f>
        <v>F&amp;C - Rec Program Fees - Other</v>
      </c>
      <c r="C11" s="20">
        <f>VLOOKUP(A11,'[1]SQL DATA'!$B:$K,10,FALSE)</f>
        <v>210838.12</v>
      </c>
      <c r="D11" s="73">
        <f>VLOOKUP(A11,'[1]SQL DATA'!$B:$J,9,FALSE)</f>
        <v>351.44</v>
      </c>
      <c r="E11" s="50">
        <f>VLOOKUP(A11,'[1]SQL DATA'!$B:$J,7,FALSE)</f>
        <v>0</v>
      </c>
      <c r="F11" s="49">
        <f>VLOOKUP(A11,'[1]SQL DATA'!$B:$J,6,FALSE)</f>
        <v>100</v>
      </c>
      <c r="G11" s="49">
        <v>0</v>
      </c>
      <c r="H11" s="49">
        <v>0</v>
      </c>
    </row>
    <row r="12" spans="1:8" x14ac:dyDescent="0.2">
      <c r="A12" s="1" t="s">
        <v>195</v>
      </c>
      <c r="B12" s="1" t="str">
        <f>VLOOKUP(A12,'[1]SQL DATA'!$B:$J,3,FALSE)</f>
        <v>F&amp;C - Rec Program Fees - Curling Rink</v>
      </c>
      <c r="C12" s="20">
        <f>VLOOKUP(A12,'[1]SQL DATA'!$B:$K,10,FALSE)</f>
        <v>15890</v>
      </c>
      <c r="D12" s="20">
        <f>VLOOKUP(A12,'[1]SQL DATA'!$B:$J,9,FALSE)</f>
        <v>23131.43</v>
      </c>
      <c r="E12" s="16">
        <f>VLOOKUP(A12,'[1]SQL DATA'!$B:$J,7,FALSE)</f>
        <v>16156.8</v>
      </c>
      <c r="F12" s="15">
        <f>VLOOKUP(A12,'[1]SQL DATA'!$B:$J,6,FALSE)</f>
        <v>16456.8</v>
      </c>
      <c r="G12" s="49">
        <v>34920</v>
      </c>
      <c r="H12" s="49">
        <f>700+34920</f>
        <v>35620</v>
      </c>
    </row>
    <row r="13" spans="1:8" x14ac:dyDescent="0.2">
      <c r="A13" s="1" t="s">
        <v>196</v>
      </c>
      <c r="B13" s="1" t="str">
        <f>VLOOKUP(A13,'[1]SQL DATA'!$B:$J,3,FALSE)</f>
        <v>F&amp;C - Rec Program  - Sign Advertising</v>
      </c>
      <c r="C13" s="20">
        <f>VLOOKUP(A13,'[1]SQL DATA'!$B:$K,10,FALSE)</f>
        <v>37409.9</v>
      </c>
      <c r="D13" s="20">
        <f>VLOOKUP(A13,'[1]SQL DATA'!$B:$J,9,FALSE)</f>
        <v>38575</v>
      </c>
      <c r="E13" s="16">
        <f>VLOOKUP(A13,'[1]SQL DATA'!$B:$J,7,FALSE)</f>
        <v>33775</v>
      </c>
      <c r="F13" s="15">
        <f>VLOOKUP(A13,'[1]SQL DATA'!$B:$J,6,FALSE)</f>
        <v>177.12</v>
      </c>
      <c r="G13" s="49">
        <v>38570</v>
      </c>
      <c r="H13" s="49">
        <v>38570</v>
      </c>
    </row>
    <row r="14" spans="1:8" x14ac:dyDescent="0.2">
      <c r="A14" s="1" t="s">
        <v>197</v>
      </c>
      <c r="B14" s="1" t="str">
        <f>VLOOKUP(A14,'[1]SQL DATA'!$B:$J,3,FALSE)</f>
        <v>F&amp;C - Rec Program Fees - Lounge Revenue</v>
      </c>
      <c r="C14" s="20">
        <f>VLOOKUP(A14,'[1]SQL DATA'!$B:$K,10,FALSE)</f>
        <v>17996.77</v>
      </c>
      <c r="D14" s="20">
        <f>VLOOKUP(A14,'[1]SQL DATA'!$B:$J,9,FALSE)</f>
        <v>31190.62</v>
      </c>
      <c r="E14" s="16">
        <f>VLOOKUP(A14,'[1]SQL DATA'!$B:$J,7,FALSE)</f>
        <v>12456.67</v>
      </c>
      <c r="F14" s="15">
        <f>VLOOKUP(A14,'[1]SQL DATA'!$B:$J,6,FALSE)</f>
        <v>46812.89</v>
      </c>
      <c r="G14" s="73">
        <v>45000</v>
      </c>
      <c r="H14" s="73">
        <v>45000</v>
      </c>
    </row>
    <row r="15" spans="1:8" x14ac:dyDescent="0.2">
      <c r="A15" s="1" t="s">
        <v>198</v>
      </c>
      <c r="B15" s="1" t="str">
        <f>VLOOKUP(A15,'[1]SQL DATA'!$B:$J,3,FALSE)</f>
        <v>F&amp;C - Rec Program Fees - Canteen Revenue</v>
      </c>
      <c r="C15" s="20">
        <f>VLOOKUP(A15,'[1]SQL DATA'!$B:$K,10,FALSE)</f>
        <v>27755.58</v>
      </c>
      <c r="D15" s="20">
        <f>VLOOKUP(A15,'[1]SQL DATA'!$B:$J,9,FALSE)</f>
        <v>31744.22</v>
      </c>
      <c r="E15" s="16">
        <f>VLOOKUP(A15,'[1]SQL DATA'!$B:$J,7,FALSE)</f>
        <v>0</v>
      </c>
      <c r="F15" s="15">
        <f>VLOOKUP(A15,'[1]SQL DATA'!$B:$J,6,FALSE)</f>
        <v>0</v>
      </c>
      <c r="G15" s="73">
        <v>59500</v>
      </c>
      <c r="H15" s="73">
        <v>0</v>
      </c>
    </row>
    <row r="16" spans="1:8" x14ac:dyDescent="0.2">
      <c r="A16" s="1" t="s">
        <v>199</v>
      </c>
      <c r="B16" s="1" t="str">
        <f>VLOOKUP(A16,'[1]SQL DATA'!$B:$J,3,FALSE)</f>
        <v>F&amp;C - Rec Fees - Membership/Public Skate</v>
      </c>
      <c r="C16" s="20">
        <f>VLOOKUP(A16,'[1]SQL DATA'!$B:$K,10,FALSE)</f>
        <v>295.10000000000002</v>
      </c>
      <c r="D16" s="20">
        <f>VLOOKUP(A16,'[1]SQL DATA'!$B:$J,9,FALSE)</f>
        <v>4194</v>
      </c>
      <c r="E16" s="16">
        <f>VLOOKUP(A16,'[1]SQL DATA'!$B:$J,7,FALSE)</f>
        <v>3720</v>
      </c>
      <c r="F16" s="15">
        <f>VLOOKUP(A16,'[1]SQL DATA'!$B:$J,6,FALSE)</f>
        <v>4275</v>
      </c>
      <c r="G16" s="49">
        <v>4500</v>
      </c>
      <c r="H16" s="49">
        <v>4500</v>
      </c>
    </row>
    <row r="17" spans="1:8" x14ac:dyDescent="0.2">
      <c r="A17" s="1" t="s">
        <v>200</v>
      </c>
      <c r="B17" s="1" t="str">
        <f>VLOOKUP(A17,'[1]SQL DATA'!$B:$J,3,FALSE)</f>
        <v>F&amp;C - Donations - Rink</v>
      </c>
      <c r="C17" s="20">
        <f>VLOOKUP(A17,'[1]SQL DATA'!$B:$K,10,FALSE)</f>
        <v>0</v>
      </c>
      <c r="D17" s="20">
        <f>VLOOKUP(A17,'[1]SQL DATA'!$B:$J,9,FALSE)</f>
        <v>11987.61</v>
      </c>
      <c r="E17" s="16">
        <f>VLOOKUP(A17,'[1]SQL DATA'!$B:$J,7,FALSE)</f>
        <v>59868.01</v>
      </c>
      <c r="F17" s="15">
        <f>VLOOKUP(A17,'[1]SQL DATA'!$B:$J,6,FALSE)</f>
        <v>2385</v>
      </c>
      <c r="G17" s="73">
        <v>0</v>
      </c>
      <c r="H17" s="73">
        <v>0</v>
      </c>
    </row>
    <row r="18" spans="1:8" x14ac:dyDescent="0.2">
      <c r="A18" s="1" t="s">
        <v>201</v>
      </c>
      <c r="B18" s="1" t="str">
        <f>VLOOKUP(A18,'[1]SQL DATA'!$B:$J,3,FALSE)</f>
        <v>F&amp;C - Fundraising &amp; Misc - Rink</v>
      </c>
      <c r="C18" s="83">
        <f>VLOOKUP(A18,'[1]SQL DATA'!$B:$K,10,FALSE)</f>
        <v>0</v>
      </c>
      <c r="D18" s="83">
        <f>VLOOKUP(A18,'[1]SQL DATA'!$B:$J,9,FALSE)</f>
        <v>117871.03999999999</v>
      </c>
      <c r="E18" s="85">
        <f>VLOOKUP(A18,'[1]SQL DATA'!$B:$J,7,FALSE)</f>
        <v>64094.080000000002</v>
      </c>
      <c r="F18" s="84">
        <f>VLOOKUP(A18,'[1]SQL DATA'!$B:$J,6,FALSE)</f>
        <v>463.48</v>
      </c>
      <c r="G18" s="83">
        <v>40000</v>
      </c>
      <c r="H18" s="83">
        <v>40000</v>
      </c>
    </row>
    <row r="19" spans="1:8" x14ac:dyDescent="0.2">
      <c r="C19" s="73">
        <f>SUM(C8:C18)</f>
        <v>355889.21</v>
      </c>
      <c r="D19" s="73">
        <f>SUM(D8:D18)</f>
        <v>352487.35</v>
      </c>
      <c r="E19" s="50">
        <f t="shared" ref="E19:H19" si="1">SUM(E8:E18)</f>
        <v>293989.36000000004</v>
      </c>
      <c r="F19" s="49">
        <f t="shared" si="1"/>
        <v>129161.77999999998</v>
      </c>
      <c r="G19" s="73">
        <f t="shared" si="1"/>
        <v>327490</v>
      </c>
      <c r="H19" s="73">
        <f t="shared" si="1"/>
        <v>275340</v>
      </c>
    </row>
    <row r="20" spans="1:8" x14ac:dyDescent="0.2">
      <c r="A20" s="42" t="s">
        <v>169</v>
      </c>
      <c r="D20" s="20"/>
      <c r="E20" s="16"/>
      <c r="F20" s="15"/>
      <c r="G20" s="73"/>
      <c r="H20" s="73"/>
    </row>
    <row r="21" spans="1:8" x14ac:dyDescent="0.2">
      <c r="A21" s="1" t="s">
        <v>202</v>
      </c>
      <c r="B21" s="1" t="str">
        <f>VLOOKUP(A21,'[1]SQL DATA'!$B:$J,3,FALSE)</f>
        <v>Sask Lotteries</v>
      </c>
      <c r="C21" s="83">
        <f>VLOOKUP(A21,'[1]SQL DATA'!$B:$K,10,FALSE)</f>
        <v>0</v>
      </c>
      <c r="D21" s="83">
        <f>VLOOKUP(A21,'[1]SQL DATA'!$B:$J,9,FALSE)</f>
        <v>0</v>
      </c>
      <c r="E21" s="85">
        <f>VLOOKUP(A21,'[1]SQL DATA'!$B:$J,7,FALSE)</f>
        <v>1250</v>
      </c>
      <c r="F21" s="84">
        <f>VLOOKUP(A21,'[1]SQL DATA'!$B:$J,6,FALSE)</f>
        <v>0</v>
      </c>
      <c r="G21" s="83">
        <v>1250</v>
      </c>
      <c r="H21" s="83">
        <v>1250</v>
      </c>
    </row>
    <row r="22" spans="1:8" x14ac:dyDescent="0.2">
      <c r="A22" s="39" t="s">
        <v>171</v>
      </c>
      <c r="C22" s="73">
        <f>SUM(C21)</f>
        <v>0</v>
      </c>
      <c r="D22" s="73">
        <f>SUM(D21)</f>
        <v>0</v>
      </c>
      <c r="E22" s="50">
        <f t="shared" ref="E22:H22" si="2">SUM(E21)</f>
        <v>1250</v>
      </c>
      <c r="F22" s="49">
        <f t="shared" si="2"/>
        <v>0</v>
      </c>
      <c r="G22" s="73">
        <f t="shared" si="2"/>
        <v>1250</v>
      </c>
      <c r="H22" s="73">
        <f t="shared" si="2"/>
        <v>1250</v>
      </c>
    </row>
    <row r="23" spans="1:8" x14ac:dyDescent="0.2">
      <c r="A23" s="39"/>
      <c r="C23" s="83"/>
      <c r="D23" s="73"/>
      <c r="E23" s="50"/>
      <c r="F23" s="49"/>
      <c r="G23" s="73"/>
      <c r="H23" s="73"/>
    </row>
    <row r="24" spans="1:8" x14ac:dyDescent="0.2">
      <c r="A24" s="34" t="s">
        <v>203</v>
      </c>
      <c r="B24" s="72"/>
      <c r="C24" s="30">
        <f>C5+C19+C22</f>
        <v>375889.21</v>
      </c>
      <c r="D24" s="30">
        <f>D5+D19+D22</f>
        <v>402487.35</v>
      </c>
      <c r="E24" s="19">
        <f t="shared" ref="E24:H24" si="3">E5+E19+E22</f>
        <v>361998.63000000006</v>
      </c>
      <c r="F24" s="18">
        <f t="shared" si="3"/>
        <v>129161.77999999998</v>
      </c>
      <c r="G24" s="30">
        <f t="shared" si="3"/>
        <v>391330</v>
      </c>
      <c r="H24" s="30">
        <f t="shared" si="3"/>
        <v>325590</v>
      </c>
    </row>
    <row r="25" spans="1:8" x14ac:dyDescent="0.2">
      <c r="A25" s="1" t="s">
        <v>8</v>
      </c>
      <c r="D25" s="73"/>
      <c r="E25" s="50"/>
      <c r="F25" s="49"/>
      <c r="G25" s="73"/>
      <c r="H25" s="73"/>
    </row>
    <row r="26" spans="1:8" x14ac:dyDescent="0.2">
      <c r="A26" s="7" t="s">
        <v>9</v>
      </c>
      <c r="D26" s="73"/>
      <c r="E26" s="50"/>
      <c r="F26" s="49"/>
      <c r="G26" s="73"/>
      <c r="H26" s="73"/>
    </row>
    <row r="27" spans="1:8" x14ac:dyDescent="0.2">
      <c r="A27" s="34" t="s">
        <v>51</v>
      </c>
      <c r="D27" s="73"/>
      <c r="E27" s="50"/>
      <c r="F27" s="49"/>
      <c r="G27" s="73"/>
      <c r="H27" s="73"/>
    </row>
    <row r="28" spans="1:8" x14ac:dyDescent="0.2">
      <c r="A28" s="1" t="s">
        <v>204</v>
      </c>
      <c r="B28" s="1" t="str">
        <f>VLOOKUP(A28,'[1]SQL DATA'!$B:$J,3,FALSE)</f>
        <v>R&amp;C - Salaries - Recreation Centre</v>
      </c>
      <c r="C28" s="20">
        <f>VLOOKUP(A28,'[1]SQL DATA'!$B:$K,10,FALSE)</f>
        <v>64122.98</v>
      </c>
      <c r="D28" s="20">
        <f>VLOOKUP(A28,'[1]SQL DATA'!$B:$J,9,FALSE)</f>
        <v>109966.88</v>
      </c>
      <c r="E28" s="16">
        <f>VLOOKUP(A28,'[1]SQL DATA'!$B:$J,7,FALSE)</f>
        <v>69784.2</v>
      </c>
      <c r="F28" s="15">
        <f>VLOOKUP(A28,'[1]SQL DATA'!$B:$J,6,FALSE)</f>
        <v>58371.15</v>
      </c>
      <c r="G28" s="141">
        <v>140500</v>
      </c>
      <c r="H28" s="141">
        <v>79500</v>
      </c>
    </row>
    <row r="29" spans="1:8" x14ac:dyDescent="0.2">
      <c r="A29" s="1" t="s">
        <v>205</v>
      </c>
      <c r="B29" s="1" t="str">
        <f>VLOOKUP(A29,'[1]SQL DATA'!$B:$J,3,FALSE)</f>
        <v>R&amp;C - Benefits - Rec Centre - CPP</v>
      </c>
      <c r="C29" s="20">
        <f>VLOOKUP(A29,'[1]SQL DATA'!$B:$K,10,FALSE)</f>
        <v>2860.97</v>
      </c>
      <c r="D29" s="20">
        <f>VLOOKUP(A29,'[1]SQL DATA'!$B:$J,9,FALSE)</f>
        <v>5536.02</v>
      </c>
      <c r="E29" s="16">
        <f>VLOOKUP(A29,'[1]SQL DATA'!$B:$J,7,FALSE)</f>
        <v>3579.9</v>
      </c>
      <c r="F29" s="15">
        <f>VLOOKUP(A29,'[1]SQL DATA'!$B:$J,6,FALSE)</f>
        <v>938.85</v>
      </c>
      <c r="G29" s="141">
        <v>6000</v>
      </c>
      <c r="H29" s="141">
        <f>H28*0.0495-5</f>
        <v>3930.25</v>
      </c>
    </row>
    <row r="30" spans="1:8" x14ac:dyDescent="0.2">
      <c r="A30" s="1" t="s">
        <v>206</v>
      </c>
      <c r="B30" s="1" t="str">
        <f>VLOOKUP(A30,'[1]SQL DATA'!$B:$J,3,FALSE)</f>
        <v>R&amp;C - Benefits - Rec Centre - EI</v>
      </c>
      <c r="C30" s="20">
        <f>VLOOKUP(A30,'[1]SQL DATA'!$B:$K,10,FALSE)</f>
        <v>1245.6400000000001</v>
      </c>
      <c r="D30" s="20">
        <f>VLOOKUP(A30,'[1]SQL DATA'!$B:$J,9,FALSE)</f>
        <v>2890.32</v>
      </c>
      <c r="E30" s="16">
        <f>VLOOKUP(A30,'[1]SQL DATA'!$B:$J,7,FALSE)</f>
        <v>1401.41</v>
      </c>
      <c r="F30" s="15">
        <f>VLOOKUP(A30,'[1]SQL DATA'!$B:$J,6,FALSE)</f>
        <v>510.98</v>
      </c>
      <c r="G30" s="141">
        <v>2400</v>
      </c>
      <c r="H30" s="141">
        <f>H28*0.02443-2</f>
        <v>1940.1849999999999</v>
      </c>
    </row>
    <row r="31" spans="1:8" x14ac:dyDescent="0.2">
      <c r="A31" s="1" t="s">
        <v>207</v>
      </c>
      <c r="B31" s="1" t="str">
        <f>VLOOKUP(A31,'[1]SQL DATA'!$B:$J,3,FALSE)</f>
        <v>R&amp;C - Benefits - Rec Centre - MEPP</v>
      </c>
      <c r="C31" s="20">
        <f>VLOOKUP(A31,'[1]SQL DATA'!$B:$K,10,FALSE)</f>
        <v>4421.3500000000004</v>
      </c>
      <c r="D31" s="20">
        <f>VLOOKUP(A31,'[1]SQL DATA'!$B:$J,9,FALSE)</f>
        <v>10082.219999999999</v>
      </c>
      <c r="E31" s="16">
        <f>VLOOKUP(A31,'[1]SQL DATA'!$B:$J,7,FALSE)</f>
        <v>5916.58</v>
      </c>
      <c r="F31" s="15">
        <f>VLOOKUP(A31,'[1]SQL DATA'!$B:$J,6,FALSE)</f>
        <v>5859.41</v>
      </c>
      <c r="G31" s="141">
        <v>12650</v>
      </c>
      <c r="H31" s="141">
        <f>H28*0.09+5</f>
        <v>7160</v>
      </c>
    </row>
    <row r="32" spans="1:8" x14ac:dyDescent="0.2">
      <c r="A32" s="1" t="s">
        <v>208</v>
      </c>
      <c r="B32" s="1" t="str">
        <f>VLOOKUP(A32,'[1]SQL DATA'!$B:$J,3,FALSE)</f>
        <v>R&amp;C - Benefits - Rec Centre - WCB</v>
      </c>
      <c r="C32" s="20">
        <f>VLOOKUP(A32,'[1]SQL DATA'!$B:$K,10,FALSE)</f>
        <v>0</v>
      </c>
      <c r="D32" s="20">
        <f>VLOOKUP(A32,'[1]SQL DATA'!$B:$J,9,FALSE)</f>
        <v>0</v>
      </c>
      <c r="E32" s="16">
        <f>VLOOKUP(A32,'[1]SQL DATA'!$B:$J,7,FALSE)</f>
        <v>636.5</v>
      </c>
      <c r="F32" s="15">
        <f>VLOOKUP(A32,'[1]SQL DATA'!$B:$J,6,FALSE)</f>
        <v>646.83000000000004</v>
      </c>
      <c r="G32" s="141">
        <v>500</v>
      </c>
      <c r="H32" s="141">
        <v>650</v>
      </c>
    </row>
    <row r="33" spans="1:8" x14ac:dyDescent="0.2">
      <c r="A33" s="1" t="s">
        <v>209</v>
      </c>
      <c r="B33" s="1" t="str">
        <f>VLOOKUP(A33,'[1]SQL DATA'!$B:$J,3,FALSE)</f>
        <v>R&amp;C - Benefits - Rec Centre  - Group</v>
      </c>
      <c r="C33" s="20">
        <f>VLOOKUP(A33,'[1]SQL DATA'!$B:$K,10,FALSE)</f>
        <v>2454.1799999999998</v>
      </c>
      <c r="D33" s="20">
        <f>VLOOKUP(A33,'[1]SQL DATA'!$B:$J,9,FALSE)</f>
        <v>7466.34</v>
      </c>
      <c r="E33" s="16">
        <f>VLOOKUP(A33,'[1]SQL DATA'!$B:$J,7,FALSE)</f>
        <v>2769.65</v>
      </c>
      <c r="F33" s="15">
        <f>VLOOKUP(A33,'[1]SQL DATA'!$B:$J,6,FALSE)</f>
        <v>817.17</v>
      </c>
      <c r="G33" s="141">
        <v>5000</v>
      </c>
      <c r="H33" s="141">
        <f>H28*0.04</f>
        <v>3180</v>
      </c>
    </row>
    <row r="34" spans="1:8" x14ac:dyDescent="0.2">
      <c r="A34" s="55" t="s">
        <v>58</v>
      </c>
      <c r="C34" s="59">
        <f>SUM(C28:C33)</f>
        <v>75105.119999999995</v>
      </c>
      <c r="D34" s="59">
        <f>SUM(D28:D33)</f>
        <v>135941.78000000003</v>
      </c>
      <c r="E34" s="48">
        <f>SUM(E28:E33)</f>
        <v>84088.239999999991</v>
      </c>
      <c r="F34" s="47">
        <f>SUM(F28:F33)</f>
        <v>67144.39</v>
      </c>
      <c r="G34" s="59">
        <f t="shared" ref="G34:H34" si="4">SUM(G28:G33)</f>
        <v>167050</v>
      </c>
      <c r="H34" s="59">
        <f t="shared" si="4"/>
        <v>96360.434999999998</v>
      </c>
    </row>
    <row r="35" spans="1:8" x14ac:dyDescent="0.2">
      <c r="D35" s="73"/>
      <c r="E35" s="50"/>
      <c r="F35" s="49"/>
      <c r="G35" s="73"/>
      <c r="H35" s="73"/>
    </row>
    <row r="36" spans="1:8" x14ac:dyDescent="0.2">
      <c r="A36" s="58" t="s">
        <v>67</v>
      </c>
      <c r="B36" s="17"/>
      <c r="C36" s="17"/>
      <c r="D36" s="87"/>
      <c r="E36" s="53"/>
      <c r="F36" s="52"/>
      <c r="G36" s="87"/>
      <c r="H36" s="87"/>
    </row>
    <row r="37" spans="1:8" x14ac:dyDescent="0.2">
      <c r="A37" s="1" t="s">
        <v>210</v>
      </c>
      <c r="B37" s="1" t="str">
        <f>VLOOKUP(A37,'[1]SQL DATA'!$B:$J,3,FALSE)</f>
        <v>R&amp;C - Utility - Heat - Rec Centre</v>
      </c>
      <c r="C37" s="20">
        <f>VLOOKUP(A37,'[1]SQL DATA'!$B:$K,10,FALSE)</f>
        <v>3345.08</v>
      </c>
      <c r="D37" s="20">
        <f>VLOOKUP(A37,'[1]SQL DATA'!$B:$J,9,FALSE)</f>
        <v>18989.03</v>
      </c>
      <c r="E37" s="16">
        <f>VLOOKUP(A37,'[1]SQL DATA'!$B:$J,7,FALSE)</f>
        <v>12212.9</v>
      </c>
      <c r="F37" s="15">
        <f>VLOOKUP(A37,'[1]SQL DATA'!$B:$J,6,FALSE)</f>
        <v>14443.22</v>
      </c>
      <c r="G37" s="141">
        <v>8000</v>
      </c>
      <c r="H37" s="141">
        <v>11500</v>
      </c>
    </row>
    <row r="38" spans="1:8" x14ac:dyDescent="0.2">
      <c r="A38" s="1" t="s">
        <v>211</v>
      </c>
      <c r="B38" s="1" t="str">
        <f>VLOOKUP(A38,'[1]SQL DATA'!$B:$J,3,FALSE)</f>
        <v>R&amp;C - Utility - Power - Rec Centre</v>
      </c>
      <c r="C38" s="20">
        <f>VLOOKUP(A38,'[1]SQL DATA'!$B:$K,10,FALSE)</f>
        <v>20500.82</v>
      </c>
      <c r="D38" s="20">
        <f>VLOOKUP(A38,'[1]SQL DATA'!$B:$J,9,FALSE)</f>
        <v>42631.79</v>
      </c>
      <c r="E38" s="16">
        <f>VLOOKUP(A38,'[1]SQL DATA'!$B:$J,7,FALSE)</f>
        <v>23046.37</v>
      </c>
      <c r="F38" s="15">
        <f>VLOOKUP(A38,'[1]SQL DATA'!$B:$J,6,FALSE)</f>
        <v>18276.16</v>
      </c>
      <c r="G38" s="141">
        <v>27000</v>
      </c>
      <c r="H38" s="142">
        <v>30000</v>
      </c>
    </row>
    <row r="39" spans="1:8" x14ac:dyDescent="0.2">
      <c r="A39" s="1" t="s">
        <v>212</v>
      </c>
      <c r="B39" s="1" t="str">
        <f>VLOOKUP(A39,'[1]SQL DATA'!$B:$J,3,FALSE)</f>
        <v>R&amp;C - Utility - Water - Rec Centre</v>
      </c>
      <c r="C39" s="20">
        <f>VLOOKUP(A39,'[1]SQL DATA'!$B:$K,10,FALSE)</f>
        <v>3156.51</v>
      </c>
      <c r="D39" s="20">
        <f>VLOOKUP(A39,'[1]SQL DATA'!$B:$J,9,FALSE)</f>
        <v>2143.27</v>
      </c>
      <c r="E39" s="16">
        <f>VLOOKUP(A39,'[1]SQL DATA'!$B:$J,7,FALSE)</f>
        <v>1825.21</v>
      </c>
      <c r="F39" s="15">
        <f>VLOOKUP(A39,'[1]SQL DATA'!$B:$J,6,FALSE)</f>
        <v>1239.5999999999999</v>
      </c>
      <c r="G39" s="141">
        <v>3500</v>
      </c>
      <c r="H39" s="141">
        <v>3500</v>
      </c>
    </row>
    <row r="40" spans="1:8" x14ac:dyDescent="0.2">
      <c r="A40" s="1" t="s">
        <v>213</v>
      </c>
      <c r="B40" s="1" t="str">
        <f>VLOOKUP(A40,'[1]SQL DATA'!$B:$J,3,FALSE)</f>
        <v>R&amp;C - Utility - Telephone - Rec Centre</v>
      </c>
      <c r="C40" s="20">
        <f>VLOOKUP(A40,'[1]SQL DATA'!$B:$K,10,FALSE)</f>
        <v>1717.38</v>
      </c>
      <c r="D40" s="20">
        <f>VLOOKUP(A40,'[1]SQL DATA'!$B:$J,9,FALSE)</f>
        <v>2842.37</v>
      </c>
      <c r="E40" s="16">
        <f>VLOOKUP(A40,'[1]SQL DATA'!$B:$J,7,FALSE)</f>
        <v>3791.38</v>
      </c>
      <c r="F40" s="15">
        <f>VLOOKUP(A40,'[1]SQL DATA'!$B:$J,6,FALSE)</f>
        <v>2748.59</v>
      </c>
      <c r="G40" s="141">
        <v>6960</v>
      </c>
      <c r="H40" s="141">
        <v>4000</v>
      </c>
    </row>
    <row r="41" spans="1:8" x14ac:dyDescent="0.2">
      <c r="A41" s="1" t="s">
        <v>214</v>
      </c>
      <c r="B41" s="1" t="str">
        <f>VLOOKUP(A41,'[1]SQL DATA'!$B:$J,3,FALSE)</f>
        <v>R&amp;C - Utility - Satellite TV  Rec Centre</v>
      </c>
      <c r="C41" s="20">
        <f>VLOOKUP(A41,'[1]SQL DATA'!$B:$K,10,FALSE)</f>
        <v>280.58</v>
      </c>
      <c r="D41" s="20">
        <f>VLOOKUP(A41,'[1]SQL DATA'!$B:$J,9,FALSE)</f>
        <v>335.71</v>
      </c>
      <c r="E41" s="16">
        <f>VLOOKUP(A41,'[1]SQL DATA'!$B:$J,7,FALSE)</f>
        <v>432.56</v>
      </c>
      <c r="F41" s="15">
        <f>VLOOKUP(A41,'[1]SQL DATA'!$B:$J,6,FALSE)</f>
        <v>751.97</v>
      </c>
      <c r="G41" s="141">
        <v>700</v>
      </c>
      <c r="H41" s="141">
        <v>700</v>
      </c>
    </row>
    <row r="42" spans="1:8" x14ac:dyDescent="0.2">
      <c r="A42" s="55" t="s">
        <v>72</v>
      </c>
      <c r="B42" s="81"/>
      <c r="C42" s="59">
        <f t="shared" ref="C42:H42" si="5">SUM(C37:C41)</f>
        <v>29000.370000000006</v>
      </c>
      <c r="D42" s="59">
        <f t="shared" si="5"/>
        <v>66942.17</v>
      </c>
      <c r="E42" s="48">
        <f t="shared" si="5"/>
        <v>41308.419999999991</v>
      </c>
      <c r="F42" s="47">
        <f t="shared" si="5"/>
        <v>37459.539999999994</v>
      </c>
      <c r="G42" s="59">
        <f t="shared" si="5"/>
        <v>46160</v>
      </c>
      <c r="H42" s="59">
        <f t="shared" si="5"/>
        <v>49700</v>
      </c>
    </row>
    <row r="43" spans="1:8" x14ac:dyDescent="0.2">
      <c r="A43" s="1" t="s">
        <v>8</v>
      </c>
      <c r="D43" s="73"/>
      <c r="E43" s="50"/>
      <c r="F43" s="49"/>
      <c r="G43" s="73"/>
      <c r="H43" s="73"/>
    </row>
    <row r="44" spans="1:8" x14ac:dyDescent="0.2">
      <c r="A44" s="58" t="s">
        <v>59</v>
      </c>
      <c r="B44" s="17"/>
      <c r="C44" s="17"/>
      <c r="D44" s="87"/>
      <c r="E44" s="53"/>
      <c r="F44" s="52"/>
      <c r="G44" s="87"/>
      <c r="H44" s="87"/>
    </row>
    <row r="45" spans="1:8" x14ac:dyDescent="0.2">
      <c r="A45" s="1" t="s">
        <v>215</v>
      </c>
      <c r="B45" s="1" t="str">
        <f>VLOOKUP(A45,'[1]SQL DATA'!$B:$J,3,FALSE)</f>
        <v>R&amp;C - Cont. - Audit/Accounting</v>
      </c>
      <c r="C45" s="20">
        <f>VLOOKUP(A45,'[1]SQL DATA'!$B:$K,10,FALSE)</f>
        <v>6103.15</v>
      </c>
      <c r="D45" s="20">
        <f>VLOOKUP(A45,'[1]SQL DATA'!$B:$J,9,FALSE)</f>
        <v>0</v>
      </c>
      <c r="E45" s="16">
        <f>VLOOKUP(A45,'[1]SQL DATA'!$B:$J,7,FALSE)</f>
        <v>925</v>
      </c>
      <c r="F45" s="15">
        <f>VLOOKUP(A45,'[1]SQL DATA'!$B:$J,6,FALSE)</f>
        <v>0</v>
      </c>
      <c r="G45" s="73">
        <v>2000</v>
      </c>
      <c r="H45" s="73">
        <v>0</v>
      </c>
    </row>
    <row r="46" spans="1:8" x14ac:dyDescent="0.2">
      <c r="A46" s="1" t="s">
        <v>216</v>
      </c>
      <c r="B46" s="1" t="str">
        <f>VLOOKUP(A46,'[1]SQL DATA'!$B:$J,3,FALSE)</f>
        <v>R&amp;C - Cont. - Contracted Maint. - Rink</v>
      </c>
      <c r="C46" s="20">
        <f>VLOOKUP(A46,'[1]SQL DATA'!$B:$K,10,FALSE)</f>
        <v>0</v>
      </c>
      <c r="D46" s="20">
        <f>VLOOKUP(A46,'[1]SQL DATA'!$B:$J,9,FALSE)</f>
        <v>260</v>
      </c>
      <c r="E46" s="16">
        <f>VLOOKUP(A46,'[1]SQL DATA'!$B:$J,7,FALSE)</f>
        <v>548.66</v>
      </c>
      <c r="F46" s="15">
        <f>VLOOKUP(A46,'[1]SQL DATA'!$B:$J,6,FALSE)</f>
        <v>65</v>
      </c>
      <c r="G46" s="73">
        <v>2200</v>
      </c>
      <c r="H46" s="73">
        <v>2200</v>
      </c>
    </row>
    <row r="47" spans="1:8" x14ac:dyDescent="0.2">
      <c r="A47" s="1" t="s">
        <v>217</v>
      </c>
      <c r="B47" s="1" t="str">
        <f>VLOOKUP(A47,'[1]SQL DATA'!$B:$J,3,FALSE)</f>
        <v>R&amp;C - Utility - Garbage/Recycling - Rink</v>
      </c>
      <c r="C47" s="20">
        <f>VLOOKUP(A47,'[1]SQL DATA'!$B:$K,10,FALSE)</f>
        <v>1552.41</v>
      </c>
      <c r="D47" s="20">
        <f>VLOOKUP(A47,'[1]SQL DATA'!$B:$J,9,FALSE)</f>
        <v>1300.1300000000001</v>
      </c>
      <c r="E47" s="16">
        <f>VLOOKUP(A47,'[1]SQL DATA'!$B:$J,7,FALSE)</f>
        <v>654.74</v>
      </c>
      <c r="F47" s="15">
        <f>VLOOKUP(A47,'[1]SQL DATA'!$B:$J,6,FALSE)</f>
        <v>233.95</v>
      </c>
      <c r="G47" s="73">
        <v>3520</v>
      </c>
      <c r="H47" s="73">
        <v>3520</v>
      </c>
    </row>
    <row r="48" spans="1:8" x14ac:dyDescent="0.2">
      <c r="A48" s="1" t="s">
        <v>218</v>
      </c>
      <c r="B48" s="1" t="str">
        <f>VLOOKUP(A48,'[1]SQL DATA'!$B:$J,3,FALSE)</f>
        <v>R&amp;C - Other Contractual Services - Rink</v>
      </c>
      <c r="C48" s="20">
        <f>VLOOKUP(A48,'[1]SQL DATA'!$B:$K,10,FALSE)</f>
        <v>5916</v>
      </c>
      <c r="D48" s="20">
        <f>VLOOKUP(A48,'[1]SQL DATA'!$B:$J,9,FALSE)</f>
        <v>2721.43</v>
      </c>
      <c r="E48" s="16">
        <f>VLOOKUP(A48,'[1]SQL DATA'!$B:$J,7,FALSE)</f>
        <v>8890.01</v>
      </c>
      <c r="F48" s="15">
        <f>VLOOKUP(A48,'[1]SQL DATA'!$B:$J,6,FALSE)</f>
        <v>1344.44</v>
      </c>
      <c r="G48" s="73">
        <v>5000</v>
      </c>
      <c r="H48" s="73">
        <v>5000</v>
      </c>
    </row>
    <row r="49" spans="1:8" x14ac:dyDescent="0.2">
      <c r="A49" s="55" t="s">
        <v>66</v>
      </c>
      <c r="B49" s="72"/>
      <c r="C49" s="30">
        <f t="shared" ref="C49:H49" si="6">SUM(C45:C48)</f>
        <v>13571.56</v>
      </c>
      <c r="D49" s="30">
        <f t="shared" si="6"/>
        <v>4281.5599999999995</v>
      </c>
      <c r="E49" s="19">
        <f t="shared" si="6"/>
        <v>11018.41</v>
      </c>
      <c r="F49" s="18">
        <f t="shared" si="6"/>
        <v>1643.39</v>
      </c>
      <c r="G49" s="30">
        <f t="shared" si="6"/>
        <v>12720</v>
      </c>
      <c r="H49" s="30">
        <f t="shared" si="6"/>
        <v>10720</v>
      </c>
    </row>
    <row r="50" spans="1:8" x14ac:dyDescent="0.2">
      <c r="A50" s="9"/>
      <c r="B50" s="72"/>
      <c r="C50" s="72"/>
      <c r="D50" s="87"/>
      <c r="E50" s="53"/>
      <c r="F50" s="52"/>
      <c r="G50" s="87"/>
      <c r="H50" s="87"/>
    </row>
    <row r="51" spans="1:8" x14ac:dyDescent="0.2">
      <c r="A51" s="9"/>
      <c r="B51" s="72"/>
      <c r="C51" s="72"/>
      <c r="D51" s="87"/>
      <c r="E51" s="53"/>
      <c r="F51" s="52"/>
      <c r="G51" s="87"/>
      <c r="H51" s="87"/>
    </row>
    <row r="52" spans="1:8" x14ac:dyDescent="0.2">
      <c r="A52" s="58" t="s">
        <v>13</v>
      </c>
      <c r="B52" s="72"/>
      <c r="C52" s="72"/>
      <c r="D52" s="87"/>
      <c r="E52" s="53"/>
      <c r="F52" s="52"/>
      <c r="G52" s="87"/>
      <c r="H52" s="87"/>
    </row>
    <row r="53" spans="1:8" x14ac:dyDescent="0.2">
      <c r="A53" s="1" t="s">
        <v>219</v>
      </c>
      <c r="B53" s="1" t="str">
        <f>VLOOKUP(A53,'[1]SQL DATA'!$B:$J,3,FALSE)</f>
        <v>R&amp;C - Cont. - Insurance - Rink</v>
      </c>
      <c r="C53" s="20">
        <f>VLOOKUP(A53,'[1]SQL DATA'!$B:$K,10,FALSE)</f>
        <v>14565.46</v>
      </c>
      <c r="D53" s="20">
        <f>VLOOKUP(A53,'[1]SQL DATA'!$B:$J,9,FALSE)</f>
        <v>15378.54</v>
      </c>
      <c r="E53" s="16">
        <f>VLOOKUP(A53,'[1]SQL DATA'!$B:$J,7,FALSE)</f>
        <v>14638.15</v>
      </c>
      <c r="F53" s="15">
        <f>VLOOKUP(A53,'[1]SQL DATA'!$B:$J,6,FALSE)</f>
        <v>15989.64</v>
      </c>
      <c r="G53" s="141">
        <v>14640</v>
      </c>
      <c r="H53" s="141">
        <v>15990</v>
      </c>
    </row>
    <row r="54" spans="1:8" x14ac:dyDescent="0.2">
      <c r="A54" s="1" t="s">
        <v>220</v>
      </c>
      <c r="B54" s="1" t="str">
        <f>VLOOKUP(A54,'[1]SQL DATA'!$B:$J,3,FALSE)</f>
        <v>R&amp;C - Cont  Memberships/Subscript - Rink</v>
      </c>
      <c r="C54" s="20">
        <f>VLOOKUP(A54,'[1]SQL DATA'!$B:$K,10,FALSE)</f>
        <v>787.5</v>
      </c>
      <c r="D54" s="20">
        <f>VLOOKUP(A54,'[1]SQL DATA'!$B:$J,9,FALSE)</f>
        <v>681</v>
      </c>
      <c r="E54" s="16">
        <f>VLOOKUP(A54,'[1]SQL DATA'!$B:$J,7,FALSE)</f>
        <v>0</v>
      </c>
      <c r="F54" s="15">
        <f>VLOOKUP(A54,'[1]SQL DATA'!$B:$J,6,FALSE)</f>
        <v>206</v>
      </c>
      <c r="G54" s="141">
        <v>1000</v>
      </c>
      <c r="H54" s="141">
        <v>1000</v>
      </c>
    </row>
    <row r="55" spans="1:8" x14ac:dyDescent="0.2">
      <c r="A55" s="1" t="s">
        <v>221</v>
      </c>
      <c r="B55" s="1" t="str">
        <f>VLOOKUP(A55,'[1]SQL DATA'!$B:$J,3,FALSE)</f>
        <v>R&amp;C - Cont. - Conf. Fees/Training - Rink</v>
      </c>
      <c r="C55" s="20">
        <f>VLOOKUP(A55,'[1]SQL DATA'!$B:$K,10,FALSE)</f>
        <v>304</v>
      </c>
      <c r="D55" s="20">
        <f>VLOOKUP(A55,'[1]SQL DATA'!$B:$J,9,FALSE)</f>
        <v>0</v>
      </c>
      <c r="E55" s="16">
        <f>VLOOKUP(A55,'[1]SQL DATA'!$B:$J,7,FALSE)</f>
        <v>1910</v>
      </c>
      <c r="F55" s="15">
        <f>VLOOKUP(A55,'[1]SQL DATA'!$B:$J,6,FALSE)</f>
        <v>0</v>
      </c>
      <c r="G55" s="141">
        <v>3000</v>
      </c>
      <c r="H55" s="141">
        <v>3000</v>
      </c>
    </row>
    <row r="56" spans="1:8" x14ac:dyDescent="0.2">
      <c r="A56" s="45" t="s">
        <v>222</v>
      </c>
      <c r="B56" s="1" t="str">
        <f>VLOOKUP(A56,'[1]SQL DATA'!$B:$J,3,FALSE)</f>
        <v>R&amp;C - Postage - Rec Centre</v>
      </c>
      <c r="C56" s="20">
        <f>VLOOKUP(A56,'[1]SQL DATA'!$B:$K,10,FALSE)</f>
        <v>1500</v>
      </c>
      <c r="D56" s="20">
        <f>VLOOKUP(A56,'[1]SQL DATA'!$B:$J,9,FALSE)</f>
        <v>3000</v>
      </c>
      <c r="E56" s="16">
        <f>VLOOKUP(A56,'[1]SQL DATA'!$B:$J,7,FALSE)</f>
        <v>3000</v>
      </c>
      <c r="F56" s="15">
        <f>VLOOKUP(A56,'[1]SQL DATA'!$B:$J,6,FALSE)</f>
        <v>1750</v>
      </c>
      <c r="G56" s="141">
        <v>3000</v>
      </c>
      <c r="H56" s="141">
        <v>3000</v>
      </c>
    </row>
    <row r="57" spans="1:8" x14ac:dyDescent="0.2">
      <c r="A57" s="1" t="s">
        <v>223</v>
      </c>
      <c r="B57" s="1" t="str">
        <f>VLOOKUP(A57,'[1]SQL DATA'!$B:$J,3,FALSE)</f>
        <v>R&amp;C - Office Supplies - Rec Centre</v>
      </c>
      <c r="C57" s="20">
        <f>VLOOKUP(A57,'[1]SQL DATA'!$B:$K,10,FALSE)</f>
        <v>1520</v>
      </c>
      <c r="D57" s="20">
        <f>VLOOKUP(A57,'[1]SQL DATA'!$B:$J,9,FALSE)</f>
        <v>3110.13</v>
      </c>
      <c r="E57" s="16">
        <f>VLOOKUP(A57,'[1]SQL DATA'!$B:$J,7,FALSE)</f>
        <v>3000</v>
      </c>
      <c r="F57" s="15">
        <f>VLOOKUP(A57,'[1]SQL DATA'!$B:$J,6,FALSE)</f>
        <v>1949.64</v>
      </c>
      <c r="G57" s="141">
        <v>3000</v>
      </c>
      <c r="H57" s="141">
        <v>3000</v>
      </c>
    </row>
    <row r="58" spans="1:8" x14ac:dyDescent="0.2">
      <c r="A58" s="1" t="s">
        <v>224</v>
      </c>
      <c r="B58" s="1" t="str">
        <f>VLOOKUP(A58,'[1]SQL DATA'!$B:$J,3,FALSE)</f>
        <v>R&amp;C - Supplies - Alcohol/Mix/Confectnry</v>
      </c>
      <c r="C58" s="20">
        <f>VLOOKUP(A58,'[1]SQL DATA'!$B:$K,10,FALSE)</f>
        <v>6659.17</v>
      </c>
      <c r="D58" s="20">
        <f>VLOOKUP(A58,'[1]SQL DATA'!$B:$J,9,FALSE)</f>
        <v>11393.53</v>
      </c>
      <c r="E58" s="16">
        <f>VLOOKUP(A58,'[1]SQL DATA'!$B:$J,7,FALSE)</f>
        <v>5839.65</v>
      </c>
      <c r="F58" s="15">
        <f>VLOOKUP(A58,'[1]SQL DATA'!$B:$J,6,FALSE)</f>
        <v>12715.58</v>
      </c>
      <c r="G58" s="141">
        <v>15000</v>
      </c>
      <c r="H58" s="141">
        <v>15000</v>
      </c>
    </row>
    <row r="59" spans="1:8" x14ac:dyDescent="0.2">
      <c r="A59" s="45" t="s">
        <v>225</v>
      </c>
      <c r="B59" s="1" t="str">
        <f>VLOOKUP(A59,'[1]SQL DATA'!$B:$J,3,FALSE)</f>
        <v>R&amp;C - Supplies (includes fuel) - Rink</v>
      </c>
      <c r="C59" s="20">
        <f>VLOOKUP(A59,'[1]SQL DATA'!$B:$K,10,FALSE)</f>
        <v>1960.53</v>
      </c>
      <c r="D59" s="20">
        <f>VLOOKUP(A59,'[1]SQL DATA'!$B:$J,9,FALSE)</f>
        <v>918.61</v>
      </c>
      <c r="E59" s="16">
        <f>VLOOKUP(A59,'[1]SQL DATA'!$B:$J,7,FALSE)</f>
        <v>113.37</v>
      </c>
      <c r="F59" s="15">
        <f>VLOOKUP(A59,'[1]SQL DATA'!$B:$J,6,FALSE)</f>
        <v>182.54</v>
      </c>
      <c r="G59" s="141">
        <v>1000</v>
      </c>
      <c r="H59" s="141">
        <v>1000</v>
      </c>
    </row>
    <row r="60" spans="1:8" x14ac:dyDescent="0.2">
      <c r="A60" s="1" t="s">
        <v>226</v>
      </c>
      <c r="B60" s="1" t="str">
        <f>VLOOKUP(A60,'[1]SQL DATA'!$B:$J,3,FALSE)</f>
        <v>R&amp;C - Supplies - Canteen Exp</v>
      </c>
      <c r="C60" s="20">
        <f>VLOOKUP(A60,'[1]SQL DATA'!$B:$K,10,FALSE)</f>
        <v>21600.62</v>
      </c>
      <c r="D60" s="20">
        <f>VLOOKUP(A60,'[1]SQL DATA'!$B:$J,9,FALSE)</f>
        <v>12290.08</v>
      </c>
      <c r="E60" s="16">
        <f>VLOOKUP(A60,'[1]SQL DATA'!$B:$J,7,FALSE)</f>
        <v>0</v>
      </c>
      <c r="F60" s="15">
        <f>VLOOKUP(A60,'[1]SQL DATA'!$B:$J,6,FALSE)</f>
        <v>0</v>
      </c>
      <c r="G60" s="141">
        <v>30000</v>
      </c>
      <c r="H60" s="141">
        <v>0</v>
      </c>
    </row>
    <row r="61" spans="1:8" x14ac:dyDescent="0.2">
      <c r="A61" s="45" t="s">
        <v>227</v>
      </c>
      <c r="B61" s="1" t="str">
        <f>VLOOKUP(A61,'[1]SQL DATA'!$B:$J,3,FALSE)</f>
        <v>R&amp;C - Over/Short</v>
      </c>
      <c r="C61" s="20">
        <f>VLOOKUP(A61,'[1]SQL DATA'!$B:$K,10,FALSE)</f>
        <v>416.74</v>
      </c>
      <c r="D61" s="20">
        <f>VLOOKUP(A61,'[1]SQL DATA'!$B:$J,9,FALSE)</f>
        <v>-39.93</v>
      </c>
      <c r="E61" s="16">
        <f>VLOOKUP(A61,'[1]SQL DATA'!$B:$J,7,FALSE)</f>
        <v>-33.47</v>
      </c>
      <c r="F61" s="15">
        <f>VLOOKUP(A61,'[1]SQL DATA'!$B:$J,6,FALSE)</f>
        <v>0</v>
      </c>
      <c r="G61" s="141">
        <v>0</v>
      </c>
      <c r="H61" s="141">
        <v>0</v>
      </c>
    </row>
    <row r="62" spans="1:8" x14ac:dyDescent="0.2">
      <c r="A62" s="1" t="s">
        <v>228</v>
      </c>
      <c r="B62" s="1" t="str">
        <f>VLOOKUP(A62,'[1]SQL DATA'!$B:$J,3,FALSE)</f>
        <v>R&amp;C - Supplies - Rink - Signs for advert</v>
      </c>
      <c r="C62" s="20">
        <f>VLOOKUP(A62,'[1]SQL DATA'!$B:$K,10,FALSE)</f>
        <v>255.73</v>
      </c>
      <c r="D62" s="20">
        <f>VLOOKUP(A62,'[1]SQL DATA'!$B:$J,9,FALSE)</f>
        <v>1775.51</v>
      </c>
      <c r="E62" s="16">
        <f>VLOOKUP(A62,'[1]SQL DATA'!$B:$J,7,FALSE)</f>
        <v>0</v>
      </c>
      <c r="F62" s="15">
        <f>VLOOKUP(A62,'[1]SQL DATA'!$B:$J,6,FALSE)</f>
        <v>0</v>
      </c>
      <c r="G62" s="141">
        <v>2000</v>
      </c>
      <c r="H62" s="141">
        <v>2000</v>
      </c>
    </row>
    <row r="63" spans="1:8" x14ac:dyDescent="0.2">
      <c r="A63" s="1" t="s">
        <v>229</v>
      </c>
      <c r="B63" s="1" t="str">
        <f>VLOOKUP(A63,'[1]SQL DATA'!$B:$J,3,FALSE)</f>
        <v>R&amp;C - Supplies - Field of Dreams Inputs</v>
      </c>
      <c r="C63" s="20">
        <f>VLOOKUP(A63,'[1]SQL DATA'!$B:$K,10,FALSE)</f>
        <v>0</v>
      </c>
      <c r="D63" s="20">
        <f>VLOOKUP(A63,'[1]SQL DATA'!$B:$J,9,FALSE)</f>
        <v>11180.71</v>
      </c>
      <c r="E63" s="16">
        <f>VLOOKUP(A63,'[1]SQL DATA'!$B:$J,7,FALSE)</f>
        <v>14580.58</v>
      </c>
      <c r="F63" s="15">
        <f>VLOOKUP(A63,'[1]SQL DATA'!$B:$J,6,FALSE)</f>
        <v>20928.990000000002</v>
      </c>
      <c r="G63" s="141">
        <v>11200</v>
      </c>
      <c r="H63" s="141">
        <v>14600</v>
      </c>
    </row>
    <row r="64" spans="1:8" x14ac:dyDescent="0.2">
      <c r="A64" s="45" t="s">
        <v>230</v>
      </c>
      <c r="B64" s="1" t="str">
        <f>VLOOKUP(A64,'[1]SQL DATA'!$B:$J,3,FALSE)</f>
        <v>R&amp;C - Bldg Maint/Supply - Rec Centre</v>
      </c>
      <c r="C64" s="20">
        <f>VLOOKUP(A64,'[1]SQL DATA'!$B:$K,10,FALSE)</f>
        <v>53963.58</v>
      </c>
      <c r="D64" s="20">
        <f>VLOOKUP(A64,'[1]SQL DATA'!$B:$J,9,FALSE)</f>
        <v>55655.08</v>
      </c>
      <c r="E64" s="16">
        <f>VLOOKUP(A64,'[1]SQL DATA'!$B:$J,7,FALSE)</f>
        <v>28450.080000000002</v>
      </c>
      <c r="F64" s="15">
        <f>VLOOKUP(A64,'[1]SQL DATA'!$B:$J,6,FALSE)</f>
        <v>11672.55</v>
      </c>
      <c r="G64" s="141">
        <v>17500</v>
      </c>
      <c r="H64" s="141">
        <f>12000+55500+7000</f>
        <v>74500</v>
      </c>
    </row>
    <row r="65" spans="1:8" x14ac:dyDescent="0.2">
      <c r="A65" s="45" t="s">
        <v>231</v>
      </c>
      <c r="B65" s="1" t="str">
        <f>VLOOKUP(A65,'[1]SQL DATA'!$B:$J,3,FALSE)</f>
        <v>R&amp;C - Small Tools &amp; Equipment - Rink</v>
      </c>
      <c r="C65" s="20">
        <f>VLOOKUP(A65,'[1]SQL DATA'!$B:$K,10,FALSE)</f>
        <v>343.17</v>
      </c>
      <c r="D65" s="20">
        <f>VLOOKUP(A65,'[1]SQL DATA'!$B:$J,9,FALSE)</f>
        <v>3984.27</v>
      </c>
      <c r="E65" s="16">
        <f>VLOOKUP(A65,'[1]SQL DATA'!$B:$J,7,FALSE)</f>
        <v>5959.25</v>
      </c>
      <c r="F65" s="15">
        <f>VLOOKUP(A65,'[1]SQL DATA'!$B:$J,6,FALSE)</f>
        <v>1087.77</v>
      </c>
      <c r="G65" s="141">
        <v>2000</v>
      </c>
      <c r="H65" s="141">
        <v>5500</v>
      </c>
    </row>
    <row r="66" spans="1:8" x14ac:dyDescent="0.2">
      <c r="A66" s="55" t="s">
        <v>232</v>
      </c>
      <c r="B66" s="82"/>
      <c r="C66" s="59">
        <f t="shared" ref="C66:H66" si="7">SUM(C53:C65)</f>
        <v>103876.5</v>
      </c>
      <c r="D66" s="59">
        <f t="shared" si="7"/>
        <v>119327.53000000001</v>
      </c>
      <c r="E66" s="48">
        <f t="shared" si="7"/>
        <v>77457.61</v>
      </c>
      <c r="F66" s="47">
        <f t="shared" si="7"/>
        <v>66482.710000000006</v>
      </c>
      <c r="G66" s="59">
        <f t="shared" si="7"/>
        <v>103340</v>
      </c>
      <c r="H66" s="59">
        <f t="shared" si="7"/>
        <v>138590</v>
      </c>
    </row>
    <row r="67" spans="1:8" x14ac:dyDescent="0.2">
      <c r="D67" s="73"/>
      <c r="E67" s="50"/>
      <c r="F67" s="49"/>
      <c r="G67" s="73"/>
      <c r="H67" s="73"/>
    </row>
    <row r="68" spans="1:8" x14ac:dyDescent="0.2">
      <c r="A68" s="58" t="s">
        <v>86</v>
      </c>
      <c r="D68" s="73"/>
      <c r="E68" s="50"/>
      <c r="F68" s="49"/>
      <c r="G68" s="73"/>
      <c r="H68" s="73"/>
    </row>
    <row r="69" spans="1:8" x14ac:dyDescent="0.2">
      <c r="A69" s="45" t="s">
        <v>233</v>
      </c>
      <c r="B69" s="1" t="str">
        <f>VLOOKUP(A69,'[1]SQL DATA'!$B:$J,3,FALSE)</f>
        <v>R&amp;C - Grants &amp; Contributions - Rec Cent</v>
      </c>
      <c r="C69" s="20">
        <f>VLOOKUP(A69,'[1]SQL DATA'!$B:$K,10,FALSE)</f>
        <v>91501.58</v>
      </c>
      <c r="D69" s="20">
        <f>VLOOKUP(A69,'[1]SQL DATA'!$B:$J,9,FALSE)</f>
        <v>112398.48</v>
      </c>
      <c r="E69" s="16">
        <f>VLOOKUP(A69,'[1]SQL DATA'!$B:$J,7,FALSE)</f>
        <v>20636.150000000001</v>
      </c>
      <c r="F69" s="15">
        <f>VLOOKUP(A69,'[1]SQL DATA'!$B:$J,6,FALSE)</f>
        <v>0</v>
      </c>
      <c r="G69" s="141">
        <v>4500</v>
      </c>
      <c r="H69" s="141">
        <v>4500</v>
      </c>
    </row>
    <row r="70" spans="1:8" x14ac:dyDescent="0.2">
      <c r="A70" s="54" t="s">
        <v>88</v>
      </c>
      <c r="C70" s="59">
        <f>SUM(C69)</f>
        <v>91501.58</v>
      </c>
      <c r="D70" s="59">
        <f>SUM(D69)</f>
        <v>112398.48</v>
      </c>
      <c r="E70" s="48">
        <f t="shared" ref="E70:H70" si="8">SUM(E69)</f>
        <v>20636.150000000001</v>
      </c>
      <c r="F70" s="47">
        <f t="shared" si="8"/>
        <v>0</v>
      </c>
      <c r="G70" s="59">
        <f t="shared" si="8"/>
        <v>4500</v>
      </c>
      <c r="H70" s="59">
        <f t="shared" si="8"/>
        <v>4500</v>
      </c>
    </row>
    <row r="71" spans="1:8" x14ac:dyDescent="0.2">
      <c r="D71" s="73"/>
      <c r="E71" s="50"/>
      <c r="F71" s="49"/>
      <c r="G71" s="73"/>
      <c r="H71" s="73"/>
    </row>
    <row r="72" spans="1:8" x14ac:dyDescent="0.2">
      <c r="A72" s="34" t="s">
        <v>92</v>
      </c>
      <c r="D72" s="73"/>
      <c r="E72" s="50"/>
      <c r="F72" s="49"/>
      <c r="G72" s="73"/>
      <c r="H72" s="73"/>
    </row>
    <row r="73" spans="1:8" x14ac:dyDescent="0.2">
      <c r="A73" s="45" t="s">
        <v>234</v>
      </c>
      <c r="B73" s="1" t="str">
        <f>VLOOKUP(A73,'[1]SQL DATA'!$B:$J,3,FALSE)</f>
        <v>R&amp;C - Interest &amp; Bank Charges - Rink</v>
      </c>
      <c r="C73" s="20">
        <f>VLOOKUP(A73,'[1]SQL DATA'!$B:$K,10,FALSE)</f>
        <v>583.12</v>
      </c>
      <c r="D73" s="20">
        <f>VLOOKUP(A73,'[1]SQL DATA'!$B:$J,9,FALSE)</f>
        <v>266.56</v>
      </c>
      <c r="E73" s="16">
        <f>VLOOKUP(A73,'[1]SQL DATA'!$B:$J,7,FALSE)</f>
        <v>282.70999999999998</v>
      </c>
      <c r="F73" s="15">
        <f>VLOOKUP(A73,'[1]SQL DATA'!$B:$J,6,FALSE)</f>
        <v>432.11</v>
      </c>
      <c r="G73" s="141">
        <v>300</v>
      </c>
      <c r="H73" s="141">
        <v>300</v>
      </c>
    </row>
    <row r="74" spans="1:8" x14ac:dyDescent="0.2">
      <c r="A74" s="54" t="s">
        <v>94</v>
      </c>
      <c r="C74" s="59">
        <f>SUM(C73)</f>
        <v>583.12</v>
      </c>
      <c r="D74" s="59">
        <f>SUM(D73)</f>
        <v>266.56</v>
      </c>
      <c r="E74" s="48">
        <f t="shared" ref="E74:H74" si="9">SUM(E73)</f>
        <v>282.70999999999998</v>
      </c>
      <c r="F74" s="47">
        <f t="shared" si="9"/>
        <v>432.11</v>
      </c>
      <c r="G74" s="59">
        <f t="shared" si="9"/>
        <v>300</v>
      </c>
      <c r="H74" s="59">
        <f t="shared" si="9"/>
        <v>300</v>
      </c>
    </row>
    <row r="75" spans="1:8" x14ac:dyDescent="0.2">
      <c r="D75" s="73"/>
      <c r="E75" s="50"/>
      <c r="F75" s="49"/>
      <c r="G75" s="73"/>
      <c r="H75" s="73"/>
    </row>
    <row r="76" spans="1:8" x14ac:dyDescent="0.2">
      <c r="A76" s="34" t="s">
        <v>235</v>
      </c>
      <c r="D76" s="73"/>
      <c r="E76" s="50"/>
      <c r="F76" s="49"/>
      <c r="G76" s="73"/>
      <c r="H76" s="73"/>
    </row>
    <row r="77" spans="1:8" x14ac:dyDescent="0.2">
      <c r="A77" s="1" t="s">
        <v>236</v>
      </c>
      <c r="B77" s="1" t="str">
        <f>VLOOKUP(A77,'[1]SQL DATA'!$B:$J,3,FALSE)</f>
        <v>R&amp;C - Purchase of Cap Assets - Rec Cnrt</v>
      </c>
      <c r="C77" s="20">
        <f>VLOOKUP(A77,'[1]SQL DATA'!$B:$K,10,FALSE)</f>
        <v>0</v>
      </c>
      <c r="D77" s="20">
        <f>VLOOKUP(A77,'[1]SQL DATA'!$B:$J,9,FALSE)</f>
        <v>0</v>
      </c>
      <c r="E77" s="16">
        <f>VLOOKUP(A77,'[1]SQL DATA'!$B:$J,7,FALSE)</f>
        <v>0.06</v>
      </c>
      <c r="F77" s="15">
        <f>VLOOKUP(A77,'[1]SQL DATA'!$B:$J,6,FALSE)</f>
        <v>200</v>
      </c>
      <c r="G77" s="73">
        <v>114710</v>
      </c>
      <c r="H77" s="73">
        <v>49000</v>
      </c>
    </row>
    <row r="78" spans="1:8" x14ac:dyDescent="0.2">
      <c r="A78" s="63" t="s">
        <v>237</v>
      </c>
      <c r="B78" s="64" t="str">
        <f>VLOOKUP(A78,'[1]SQL DATA'!$B:$J,3,FALSE)</f>
        <v>Transfer to Reserves - Rec Centre</v>
      </c>
      <c r="C78" s="65">
        <f>VLOOKUP(A78,'[1]SQL DATA'!$B:$K,10,FALSE)</f>
        <v>60000</v>
      </c>
      <c r="D78" s="65">
        <f>VLOOKUP(A78,'[1]SQL DATA'!$B:$J,9,FALSE)</f>
        <v>72018.990000000005</v>
      </c>
      <c r="E78" s="65">
        <f>VLOOKUP(A78,'[1]SQL DATA'!$B:$J,7,FALSE)</f>
        <v>202370.86</v>
      </c>
      <c r="F78" s="65">
        <f>VLOOKUP(A78,'[1]SQL DATA'!$B:$J,6,FALSE)</f>
        <v>0</v>
      </c>
      <c r="G78" s="143">
        <v>6170</v>
      </c>
      <c r="H78" s="143">
        <v>10000</v>
      </c>
    </row>
    <row r="79" spans="1:8" x14ac:dyDescent="0.2">
      <c r="B79" s="144"/>
      <c r="C79" s="144"/>
      <c r="D79" s="141"/>
      <c r="E79" s="145"/>
      <c r="F79" s="142"/>
      <c r="G79" s="141"/>
      <c r="H79" s="141"/>
    </row>
    <row r="80" spans="1:8" x14ac:dyDescent="0.2">
      <c r="A80" s="34" t="s">
        <v>21</v>
      </c>
      <c r="B80" s="72"/>
      <c r="C80" s="30">
        <f t="shared" ref="C80:H80" si="10">SUM(C34+C42+C49+C66+C70+C74+C77+C78)</f>
        <v>373638.25</v>
      </c>
      <c r="D80" s="30">
        <f t="shared" si="10"/>
        <v>511177.07</v>
      </c>
      <c r="E80" s="19">
        <f t="shared" si="10"/>
        <v>437162.45999999996</v>
      </c>
      <c r="F80" s="18">
        <f t="shared" si="10"/>
        <v>173362.13999999998</v>
      </c>
      <c r="G80" s="30">
        <f t="shared" si="10"/>
        <v>454950</v>
      </c>
      <c r="H80" s="30">
        <f t="shared" si="10"/>
        <v>359170.435</v>
      </c>
    </row>
    <row r="81" spans="1:10" x14ac:dyDescent="0.2">
      <c r="A81" s="51" t="s">
        <v>8</v>
      </c>
      <c r="D81" s="73"/>
      <c r="E81" s="50"/>
      <c r="F81" s="49"/>
      <c r="G81" s="73"/>
      <c r="H81" s="73"/>
    </row>
    <row r="82" spans="1:10" ht="13.5" thickBot="1" x14ac:dyDescent="0.25">
      <c r="A82" s="74" t="s">
        <v>22</v>
      </c>
      <c r="B82" s="74"/>
      <c r="C82" s="106">
        <f t="shared" ref="C82:H82" si="11">C24-C80</f>
        <v>2250.960000000021</v>
      </c>
      <c r="D82" s="106">
        <f t="shared" si="11"/>
        <v>-108689.72000000003</v>
      </c>
      <c r="E82" s="107">
        <f t="shared" si="11"/>
        <v>-75163.8299999999</v>
      </c>
      <c r="F82" s="106">
        <f t="shared" si="11"/>
        <v>-44200.36</v>
      </c>
      <c r="G82" s="106">
        <f t="shared" si="11"/>
        <v>-63620</v>
      </c>
      <c r="H82" s="106">
        <f t="shared" si="11"/>
        <v>-33580.434999999998</v>
      </c>
      <c r="I82" s="24"/>
      <c r="J82" s="14"/>
    </row>
    <row r="83" spans="1:10" ht="13.5" thickTop="1" x14ac:dyDescent="0.2">
      <c r="A83" s="1" t="s">
        <v>8</v>
      </c>
      <c r="D83" s="73"/>
      <c r="E83" s="73"/>
      <c r="F83" s="73"/>
      <c r="G83" s="73"/>
      <c r="H83" s="73"/>
    </row>
    <row r="84" spans="1:10" x14ac:dyDescent="0.2">
      <c r="A84" s="1" t="s">
        <v>8</v>
      </c>
    </row>
    <row r="86" spans="1:10" x14ac:dyDescent="0.2">
      <c r="A86" s="1" t="s">
        <v>8</v>
      </c>
    </row>
    <row r="87" spans="1:10" x14ac:dyDescent="0.2">
      <c r="A87" s="1" t="s">
        <v>8</v>
      </c>
    </row>
    <row r="88" spans="1:10" x14ac:dyDescent="0.2">
      <c r="A88" s="9"/>
    </row>
    <row r="89" spans="1:10" x14ac:dyDescent="0.2">
      <c r="A89" s="1" t="s">
        <v>8</v>
      </c>
    </row>
    <row r="90" spans="1:10" x14ac:dyDescent="0.2">
      <c r="A90" s="1" t="s">
        <v>8</v>
      </c>
    </row>
    <row r="101" spans="1:1" x14ac:dyDescent="0.2">
      <c r="A101" s="1" t="s">
        <v>238</v>
      </c>
    </row>
  </sheetData>
  <mergeCells count="1">
    <mergeCell ref="A82:B82"/>
  </mergeCells>
  <pageMargins left="0.25" right="0.25" top="0.75" bottom="0.75" header="0.3" footer="0.3"/>
  <pageSetup pageOrder="overThenDown" orientation="portrait" r:id="rId1"/>
  <headerFooter>
    <oddHeader xml:space="preserve">&amp;C&amp;"Calibri,Bold"&amp;10TOWN OF SHELLBROOK
Richardson Pioneer Recreation Centre
</oddHeader>
    <oddFooter xml:space="preserve">&amp;L&amp;P of &amp;N 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101D3-FE52-41AC-80CF-35F6AAE3118E}">
  <sheetPr>
    <pageSetUpPr fitToPage="1"/>
  </sheetPr>
  <dimension ref="A1:H67"/>
  <sheetViews>
    <sheetView zoomScale="150" zoomScaleNormal="150" zoomScalePageLayoutView="80" workbookViewId="0">
      <selection activeCell="G9" sqref="G9"/>
    </sheetView>
  </sheetViews>
  <sheetFormatPr defaultColWidth="8.85546875" defaultRowHeight="12.75" x14ac:dyDescent="0.2"/>
  <cols>
    <col min="1" max="1" width="13.42578125" style="1" customWidth="1"/>
    <col min="2" max="2" width="35.85546875" style="37" bestFit="1" customWidth="1"/>
    <col min="3" max="3" width="8.140625" style="37" bestFit="1" customWidth="1"/>
    <col min="4" max="4" width="9.42578125" style="37" bestFit="1" customWidth="1"/>
    <col min="5" max="5" width="8.5703125" style="37" bestFit="1" customWidth="1"/>
    <col min="6" max="6" width="9.7109375" style="37" customWidth="1"/>
    <col min="7" max="7" width="10.85546875" style="37" customWidth="1"/>
    <col min="8" max="8" width="8.5703125" style="37" bestFit="1" customWidth="1"/>
    <col min="9" max="16384" width="8.85546875" style="1"/>
  </cols>
  <sheetData>
    <row r="1" spans="1:8" x14ac:dyDescent="0.2">
      <c r="B1" s="146"/>
      <c r="C1" s="2">
        <v>2019</v>
      </c>
      <c r="D1" s="2">
        <v>2020</v>
      </c>
      <c r="E1" s="3">
        <v>2021</v>
      </c>
      <c r="F1" s="2">
        <v>2022</v>
      </c>
      <c r="G1" s="2">
        <v>2021</v>
      </c>
      <c r="H1" s="2">
        <v>2022</v>
      </c>
    </row>
    <row r="2" spans="1:8" x14ac:dyDescent="0.2">
      <c r="C2" s="4" t="s">
        <v>0</v>
      </c>
      <c r="D2" s="5" t="s">
        <v>0</v>
      </c>
      <c r="E2" s="6" t="s">
        <v>0</v>
      </c>
      <c r="F2" s="5" t="s">
        <v>0</v>
      </c>
      <c r="G2" s="5" t="s">
        <v>1</v>
      </c>
      <c r="H2" s="5" t="s">
        <v>1</v>
      </c>
    </row>
    <row r="3" spans="1:8" x14ac:dyDescent="0.2">
      <c r="A3" s="7" t="s">
        <v>239</v>
      </c>
      <c r="D3" s="2"/>
      <c r="E3" s="3"/>
      <c r="F3" s="2"/>
      <c r="G3" s="2"/>
      <c r="H3" s="2"/>
    </row>
    <row r="4" spans="1:8" x14ac:dyDescent="0.2">
      <c r="A4" s="1" t="s">
        <v>25</v>
      </c>
      <c r="D4" s="2"/>
      <c r="E4" s="3"/>
      <c r="F4" s="2"/>
      <c r="G4" s="2"/>
      <c r="H4" s="2"/>
    </row>
    <row r="5" spans="1:8" x14ac:dyDescent="0.2">
      <c r="A5" s="1" t="s">
        <v>240</v>
      </c>
      <c r="B5" s="1" t="str">
        <f>VLOOKUP(A5,'[1]SQL DATA'!$B:$J,3,FALSE)</f>
        <v>Transfer from Reserves - Pool</v>
      </c>
      <c r="C5" s="83">
        <f>VLOOKUP(A5,'[1]SQL DATA'!$B:$K,10,FALSE)</f>
        <v>0</v>
      </c>
      <c r="D5" s="83">
        <f>VLOOKUP(A5,'[1]SQL DATA'!$B:$J,9,FALSE)</f>
        <v>0</v>
      </c>
      <c r="E5" s="85">
        <f>VLOOKUP(A5,'[1]SQL DATA'!$B:$J,7,FALSE)</f>
        <v>0</v>
      </c>
      <c r="F5" s="84">
        <f>VLOOKUP(A5,'[1]SQL DATA'!$B:$J,6,FALSE)</f>
        <v>0</v>
      </c>
      <c r="G5" s="86">
        <v>0</v>
      </c>
      <c r="H5" s="147">
        <f>20000+10000+22200</f>
        <v>52200</v>
      </c>
    </row>
    <row r="6" spans="1:8" x14ac:dyDescent="0.2">
      <c r="A6" s="7"/>
      <c r="C6" s="148">
        <f>SUM(C5)</f>
        <v>0</v>
      </c>
      <c r="D6" s="148">
        <f>SUM(D5)</f>
        <v>0</v>
      </c>
      <c r="E6" s="149">
        <f>SUM(E5)</f>
        <v>0</v>
      </c>
      <c r="F6" s="148">
        <f>SUM(F5)</f>
        <v>0</v>
      </c>
      <c r="G6" s="150"/>
      <c r="H6" s="148">
        <f>H5</f>
        <v>52200</v>
      </c>
    </row>
    <row r="7" spans="1:8" x14ac:dyDescent="0.2">
      <c r="A7" s="45" t="s">
        <v>28</v>
      </c>
      <c r="D7" s="1"/>
      <c r="E7" s="16"/>
      <c r="F7" s="15"/>
      <c r="G7" s="20"/>
    </row>
    <row r="8" spans="1:8" x14ac:dyDescent="0.2">
      <c r="A8" s="1" t="s">
        <v>241</v>
      </c>
      <c r="B8" s="1" t="str">
        <f>VLOOKUP(A8,'[1]SQL DATA'!$B:$J,3,FALSE)</f>
        <v>F&amp;C - Rec Program Fees - Public Swim</v>
      </c>
      <c r="C8" s="20">
        <f>VLOOKUP(A8,'[1]SQL DATA'!$B:$K,10,FALSE)</f>
        <v>14866.15</v>
      </c>
      <c r="D8" s="20">
        <f>VLOOKUP(A8,'[1]SQL DATA'!$B:$J,9,FALSE)</f>
        <v>1023.5</v>
      </c>
      <c r="E8" s="16">
        <f>VLOOKUP(A8,'[1]SQL DATA'!$B:$J,7,FALSE)</f>
        <v>1956</v>
      </c>
      <c r="F8" s="15">
        <f>VLOOKUP(A8,'[1]SQL DATA'!$B:$J,6,FALSE)</f>
        <v>9617.7000000000007</v>
      </c>
      <c r="G8" s="79">
        <v>2000</v>
      </c>
      <c r="H8" s="88">
        <v>2000</v>
      </c>
    </row>
    <row r="9" spans="1:8" x14ac:dyDescent="0.2">
      <c r="A9" s="1" t="s">
        <v>242</v>
      </c>
      <c r="B9" s="1" t="str">
        <f>VLOOKUP(A9,'[1]SQL DATA'!$B:$J,3,FALSE)</f>
        <v>F&amp;C - Rec Program Fees - Punch Cards</v>
      </c>
      <c r="C9" s="20">
        <f>VLOOKUP(A9,'[1]SQL DATA'!$B:$K,10,FALSE)</f>
        <v>0</v>
      </c>
      <c r="D9" s="20">
        <f>VLOOKUP(A9,'[1]SQL DATA'!$B:$J,9,FALSE)</f>
        <v>0</v>
      </c>
      <c r="E9" s="16">
        <f>VLOOKUP(A9,'[1]SQL DATA'!$B:$J,7,FALSE)</f>
        <v>0</v>
      </c>
      <c r="F9" s="15">
        <f>VLOOKUP(A9,'[1]SQL DATA'!$B:$J,6,FALSE)</f>
        <v>1562.83</v>
      </c>
      <c r="G9" s="79">
        <v>0</v>
      </c>
      <c r="H9" s="88">
        <v>15000</v>
      </c>
    </row>
    <row r="10" spans="1:8" x14ac:dyDescent="0.2">
      <c r="A10" s="1" t="s">
        <v>243</v>
      </c>
      <c r="B10" s="1" t="str">
        <f>VLOOKUP(A10,'[1]SQL DATA'!$B:$J,3,FALSE)</f>
        <v>F&amp;C - Rec Program Fees - Swim Lessons</v>
      </c>
      <c r="C10" s="20">
        <f>VLOOKUP(A10,'[1]SQL DATA'!$B:$K,10,FALSE)</f>
        <v>29320</v>
      </c>
      <c r="D10" s="20">
        <f>VLOOKUP(A10,'[1]SQL DATA'!$B:$J,9,FALSE)</f>
        <v>20923.5</v>
      </c>
      <c r="E10" s="16">
        <f>VLOOKUP(A10,'[1]SQL DATA'!$B:$J,7,FALSE)</f>
        <v>31616</v>
      </c>
      <c r="F10" s="15">
        <f>VLOOKUP(A10,'[1]SQL DATA'!$B:$J,6,FALSE)</f>
        <v>38624.5</v>
      </c>
      <c r="G10" s="79">
        <v>21000</v>
      </c>
      <c r="H10" s="88">
        <v>31000</v>
      </c>
    </row>
    <row r="11" spans="1:8" x14ac:dyDescent="0.2">
      <c r="A11" s="1" t="s">
        <v>244</v>
      </c>
      <c r="B11" s="1" t="str">
        <f>VLOOKUP(A11,'[1]SQL DATA'!$B:$J,3,FALSE)</f>
        <v>F&amp;C - Rec Program Fees - Rentals</v>
      </c>
      <c r="C11" s="20">
        <f>VLOOKUP(A11,'[1]SQL DATA'!$B:$K,10,FALSE)</f>
        <v>3733.65</v>
      </c>
      <c r="D11" s="20">
        <f>VLOOKUP(A11,'[1]SQL DATA'!$B:$J,9,FALSE)</f>
        <v>2247.0100000000002</v>
      </c>
      <c r="E11" s="16">
        <f>VLOOKUP(A11,'[1]SQL DATA'!$B:$J,7,FALSE)</f>
        <v>7844.81</v>
      </c>
      <c r="F11" s="15">
        <f>VLOOKUP(A11,'[1]SQL DATA'!$B:$J,6,FALSE)</f>
        <v>2388</v>
      </c>
      <c r="G11" s="79">
        <v>2250</v>
      </c>
      <c r="H11" s="88">
        <v>7800</v>
      </c>
    </row>
    <row r="12" spans="1:8" x14ac:dyDescent="0.2">
      <c r="A12" s="1" t="s">
        <v>245</v>
      </c>
      <c r="B12" s="1" t="str">
        <f>VLOOKUP(A12,'[1]SQL DATA'!$B:$J,3,FALSE)</f>
        <v>F&amp;C - Rec Program Fees -Pool Memberships</v>
      </c>
      <c r="C12" s="20">
        <f>VLOOKUP(A12,'[1]SQL DATA'!$B:$K,10,FALSE)</f>
        <v>0</v>
      </c>
      <c r="D12" s="20">
        <f>VLOOKUP(A12,'[1]SQL DATA'!$B:$J,9,FALSE)</f>
        <v>8748.91</v>
      </c>
      <c r="E12" s="16">
        <f>VLOOKUP(A12,'[1]SQL DATA'!$B:$J,7,FALSE)</f>
        <v>17078.84</v>
      </c>
      <c r="F12" s="15">
        <f>VLOOKUP(A12,'[1]SQL DATA'!$B:$J,6,FALSE)</f>
        <v>4148.92</v>
      </c>
      <c r="G12" s="79">
        <v>9000</v>
      </c>
      <c r="H12" s="88">
        <v>2000</v>
      </c>
    </row>
    <row r="13" spans="1:8" x14ac:dyDescent="0.2">
      <c r="A13" s="1" t="s">
        <v>246</v>
      </c>
      <c r="B13" s="1" t="str">
        <f>VLOOKUP(A13,'[1]SQL DATA'!$B:$J,3,FALSE)</f>
        <v>F&amp;C - Rec Program Fees - Ice Cream Sales</v>
      </c>
      <c r="C13" s="20">
        <f>VLOOKUP(A13,'[1]SQL DATA'!$B:$K,10,FALSE)</f>
        <v>3407.81</v>
      </c>
      <c r="D13" s="20">
        <f>VLOOKUP(A13,'[1]SQL DATA'!$B:$J,9,FALSE)</f>
        <v>0</v>
      </c>
      <c r="E13" s="16">
        <f>VLOOKUP(A13,'[1]SQL DATA'!$B:$J,7,FALSE)</f>
        <v>0</v>
      </c>
      <c r="F13" s="15">
        <f>VLOOKUP(A13,'[1]SQL DATA'!$B:$J,6,FALSE)</f>
        <v>824.83</v>
      </c>
      <c r="G13" s="79">
        <v>3650</v>
      </c>
      <c r="H13" s="88">
        <v>3400</v>
      </c>
    </row>
    <row r="14" spans="1:8" x14ac:dyDescent="0.2">
      <c r="A14" s="1" t="s">
        <v>247</v>
      </c>
      <c r="B14" s="1" t="str">
        <f>VLOOKUP(A14,'[1]SQL DATA'!$B:$J,3,FALSE)</f>
        <v>F&amp;C - Donations - Pool</v>
      </c>
      <c r="C14" s="20">
        <f>VLOOKUP(A14,'[1]SQL DATA'!$B:$K,10,FALSE)</f>
        <v>50</v>
      </c>
      <c r="D14" s="20">
        <f>VLOOKUP(A14,'[1]SQL DATA'!$B:$J,9,FALSE)</f>
        <v>76510.36</v>
      </c>
      <c r="E14" s="16">
        <f>VLOOKUP(A14,'[1]SQL DATA'!$B:$J,7,FALSE)</f>
        <v>12645.9</v>
      </c>
      <c r="F14" s="56">
        <f>VLOOKUP(A14,'[1]SQL DATA'!$B:$J,6,FALSE)</f>
        <v>239.52</v>
      </c>
      <c r="G14" s="79">
        <v>0</v>
      </c>
      <c r="H14" s="88">
        <v>0</v>
      </c>
    </row>
    <row r="15" spans="1:8" x14ac:dyDescent="0.2">
      <c r="A15" s="9" t="s">
        <v>42</v>
      </c>
      <c r="B15" s="151"/>
      <c r="C15" s="30">
        <f t="shared" ref="C15:H15" si="0">SUM(C8:C14)</f>
        <v>51377.61</v>
      </c>
      <c r="D15" s="30">
        <f t="shared" si="0"/>
        <v>109453.28</v>
      </c>
      <c r="E15" s="19">
        <f t="shared" si="0"/>
        <v>71141.549999999988</v>
      </c>
      <c r="F15" s="30">
        <f t="shared" si="0"/>
        <v>57406.299999999996</v>
      </c>
      <c r="G15" s="30">
        <f t="shared" si="0"/>
        <v>37900</v>
      </c>
      <c r="H15" s="18">
        <f t="shared" si="0"/>
        <v>61200</v>
      </c>
    </row>
    <row r="16" spans="1:8" x14ac:dyDescent="0.2">
      <c r="B16" s="151"/>
      <c r="C16" s="151"/>
      <c r="D16" s="152"/>
      <c r="E16" s="153"/>
      <c r="F16" s="154"/>
      <c r="G16" s="152"/>
      <c r="H16" s="154"/>
    </row>
    <row r="17" spans="1:8" x14ac:dyDescent="0.2">
      <c r="A17" s="45" t="s">
        <v>43</v>
      </c>
      <c r="D17" s="79"/>
      <c r="E17" s="89"/>
      <c r="F17" s="88"/>
      <c r="G17" s="79"/>
      <c r="H17" s="88"/>
    </row>
    <row r="18" spans="1:8" ht="14.25" x14ac:dyDescent="0.2">
      <c r="A18" s="1" t="s">
        <v>248</v>
      </c>
      <c r="B18" s="1" t="str">
        <f>VLOOKUP(A18,'[1]SQL DATA'!$B:$J,3,FALSE)</f>
        <v>Unconditional Provincial Grants (MAPP)</v>
      </c>
      <c r="C18" s="20">
        <f>VLOOKUP(A18,'[1]SQL DATA'!$B:$K,10,FALSE)</f>
        <v>450</v>
      </c>
      <c r="D18" s="20">
        <f>VLOOKUP(A18,'[1]SQL DATA'!$B:$J,9,FALSE)</f>
        <v>0</v>
      </c>
      <c r="E18" s="16">
        <f>VLOOKUP(A18,'[1]SQL DATA'!$B:$J,7,FALSE)</f>
        <v>0</v>
      </c>
      <c r="F18" s="15">
        <f>VLOOKUP(A18,'[1]SQL DATA'!$B:$J,6,FALSE)</f>
        <v>0</v>
      </c>
      <c r="G18" s="79">
        <v>0</v>
      </c>
      <c r="H18" s="88">
        <v>0</v>
      </c>
    </row>
    <row r="19" spans="1:8" x14ac:dyDescent="0.2">
      <c r="A19" s="1" t="s">
        <v>249</v>
      </c>
      <c r="B19" s="1" t="str">
        <f>VLOOKUP(A19,'[1]SQL DATA'!$B:$J,3,FALSE)</f>
        <v>Unconditional - Local Grants - Pool</v>
      </c>
      <c r="C19" s="20">
        <f>VLOOKUP(A19,'[1]SQL DATA'!$B:$K,10,FALSE)</f>
        <v>1825.18</v>
      </c>
      <c r="D19" s="20">
        <f>VLOOKUP(A19,'[1]SQL DATA'!$B:$J,9,FALSE)</f>
        <v>825.18</v>
      </c>
      <c r="E19" s="16">
        <f>VLOOKUP(A19,'[1]SQL DATA'!$B:$J,7,FALSE)</f>
        <v>4765.7</v>
      </c>
      <c r="F19" s="15">
        <f>VLOOKUP(A19,'[1]SQL DATA'!$B:$J,6,FALSE)</f>
        <v>341.43</v>
      </c>
      <c r="G19" s="79">
        <v>2000</v>
      </c>
      <c r="H19" s="88">
        <v>0</v>
      </c>
    </row>
    <row r="20" spans="1:8" x14ac:dyDescent="0.2">
      <c r="A20" s="1" t="s">
        <v>250</v>
      </c>
      <c r="B20" s="1" t="str">
        <f>VLOOKUP(A20,'[1]SQL DATA'!$B:$J,3,FALSE)</f>
        <v>Conditional - Federal - Student Emp</v>
      </c>
      <c r="C20" s="20">
        <f>VLOOKUP(A20,'[1]SQL DATA'!$B:$K,10,FALSE)</f>
        <v>3561</v>
      </c>
      <c r="D20" s="20">
        <f>VLOOKUP(A20,'[1]SQL DATA'!$B:$J,9,FALSE)</f>
        <v>8150</v>
      </c>
      <c r="E20" s="16">
        <f>VLOOKUP(A20,'[1]SQL DATA'!$B:$J,7,FALSE)</f>
        <v>7494</v>
      </c>
      <c r="F20" s="15">
        <f>VLOOKUP(A20,'[1]SQL DATA'!$B:$J,6,FALSE)</f>
        <v>7494</v>
      </c>
      <c r="G20" s="79">
        <v>0</v>
      </c>
      <c r="H20" s="88">
        <v>0</v>
      </c>
    </row>
    <row r="21" spans="1:8" x14ac:dyDescent="0.2">
      <c r="A21" s="1" t="s">
        <v>251</v>
      </c>
      <c r="B21" s="1" t="str">
        <f>VLOOKUP(A21,'[1]SQL DATA'!$B:$J,3,FALSE)</f>
        <v>Conditional - Prov - Student Emp</v>
      </c>
      <c r="C21" s="20">
        <f>VLOOKUP(A21,'[1]SQL DATA'!$B:$K,10,FALSE)</f>
        <v>0</v>
      </c>
      <c r="D21" s="20">
        <f>VLOOKUP(A21,'[1]SQL DATA'!$B:$J,9,FALSE)</f>
        <v>0</v>
      </c>
      <c r="E21" s="16">
        <f>VLOOKUP(A21,'[1]SQL DATA'!$B:$J,7,FALSE)</f>
        <v>0</v>
      </c>
      <c r="F21" s="15">
        <f>VLOOKUP(A21,'[1]SQL DATA'!$B:$J,6,FALSE)</f>
        <v>0</v>
      </c>
      <c r="G21" s="79">
        <v>0</v>
      </c>
      <c r="H21" s="88">
        <v>0</v>
      </c>
    </row>
    <row r="22" spans="1:8" x14ac:dyDescent="0.2">
      <c r="A22" s="9" t="s">
        <v>50</v>
      </c>
      <c r="B22" s="155"/>
      <c r="C22" s="59">
        <f>SUM(C18:C21)</f>
        <v>5836.18</v>
      </c>
      <c r="D22" s="59">
        <f>SUM(D18:D21)</f>
        <v>8975.18</v>
      </c>
      <c r="E22" s="48">
        <f>SUM(E18:E21)</f>
        <v>12259.7</v>
      </c>
      <c r="F22" s="47">
        <f>SUM(F18:F21)</f>
        <v>7835.43</v>
      </c>
      <c r="G22" s="59">
        <f t="shared" ref="G22:H22" si="1">SUM(G18:G21)</f>
        <v>2000</v>
      </c>
      <c r="H22" s="47">
        <f t="shared" si="1"/>
        <v>0</v>
      </c>
    </row>
    <row r="23" spans="1:8" x14ac:dyDescent="0.2">
      <c r="B23" s="155"/>
      <c r="C23" s="79"/>
      <c r="D23" s="79"/>
      <c r="E23" s="89"/>
      <c r="F23" s="88"/>
      <c r="G23" s="79"/>
      <c r="H23" s="88"/>
    </row>
    <row r="24" spans="1:8" ht="13.5" thickBot="1" x14ac:dyDescent="0.25">
      <c r="A24" s="51" t="s">
        <v>203</v>
      </c>
      <c r="B24" s="155"/>
      <c r="C24" s="100">
        <f>C6+C15+C22</f>
        <v>57213.79</v>
      </c>
      <c r="D24" s="100">
        <f t="shared" ref="D24:G24" si="2">D6+D15+D22</f>
        <v>118428.45999999999</v>
      </c>
      <c r="E24" s="102">
        <f t="shared" si="2"/>
        <v>83401.249999999985</v>
      </c>
      <c r="F24" s="100">
        <f t="shared" si="2"/>
        <v>65241.729999999996</v>
      </c>
      <c r="G24" s="100">
        <f t="shared" si="2"/>
        <v>39900</v>
      </c>
      <c r="H24" s="101">
        <f>H6+H15+H22</f>
        <v>113400</v>
      </c>
    </row>
    <row r="25" spans="1:8" ht="13.5" thickTop="1" x14ac:dyDescent="0.2">
      <c r="B25" s="155"/>
      <c r="C25" s="155"/>
      <c r="D25" s="79"/>
      <c r="E25" s="89"/>
      <c r="F25" s="88"/>
      <c r="G25" s="79"/>
      <c r="H25" s="88"/>
    </row>
    <row r="26" spans="1:8" x14ac:dyDescent="0.2">
      <c r="A26" s="7" t="s">
        <v>9</v>
      </c>
      <c r="D26" s="79"/>
      <c r="E26" s="89"/>
      <c r="F26" s="88"/>
      <c r="G26" s="79"/>
      <c r="H26" s="88"/>
    </row>
    <row r="27" spans="1:8" x14ac:dyDescent="0.2">
      <c r="A27" s="58" t="s">
        <v>51</v>
      </c>
      <c r="D27" s="79"/>
      <c r="E27" s="89"/>
      <c r="F27" s="88"/>
      <c r="G27" s="79"/>
      <c r="H27" s="88"/>
    </row>
    <row r="28" spans="1:8" x14ac:dyDescent="0.2">
      <c r="A28" s="45" t="s">
        <v>252</v>
      </c>
      <c r="B28" s="1" t="str">
        <f>VLOOKUP(A28,'[1]SQL DATA'!$B:$J,3,FALSE)</f>
        <v>R&amp;C - Salaries - Swimming Pool</v>
      </c>
      <c r="C28" s="20">
        <f>VLOOKUP(A28,'[1]SQL DATA'!$B:$K,10,FALSE)</f>
        <v>44599.86</v>
      </c>
      <c r="D28" s="20">
        <f>VLOOKUP(A28,'[1]SQL DATA'!$B:$J,9,FALSE)</f>
        <v>43289.3</v>
      </c>
      <c r="E28" s="16">
        <f>VLOOKUP(A28,'[1]SQL DATA'!$B:$J,7,FALSE)</f>
        <v>67134.2</v>
      </c>
      <c r="F28" s="15">
        <f>VLOOKUP(A28,'[1]SQL DATA'!$B:$J,6,FALSE)</f>
        <v>48249.3</v>
      </c>
      <c r="G28" s="79">
        <v>48000</v>
      </c>
      <c r="H28" s="88">
        <f>50000+13110</f>
        <v>63110</v>
      </c>
    </row>
    <row r="29" spans="1:8" x14ac:dyDescent="0.2">
      <c r="A29" s="45" t="s">
        <v>253</v>
      </c>
      <c r="B29" s="1" t="str">
        <f>VLOOKUP(A29,'[1]SQL DATA'!$B:$J,3,FALSE)</f>
        <v>R&amp;C - Benefits - Swimming Pool</v>
      </c>
      <c r="C29" s="20">
        <f>VLOOKUP(A29,'[1]SQL DATA'!$B:$K,10,FALSE)</f>
        <v>3901.54</v>
      </c>
      <c r="D29" s="20">
        <f>VLOOKUP(A29,'[1]SQL DATA'!$B:$J,9,FALSE)</f>
        <v>4583.62</v>
      </c>
      <c r="E29" s="16">
        <f>VLOOKUP(A29,'[1]SQL DATA'!$B:$J,7,FALSE)</f>
        <v>5896.1</v>
      </c>
      <c r="F29" s="15">
        <f>VLOOKUP(A29,'[1]SQL DATA'!$B:$J,6,FALSE)</f>
        <v>3930.74</v>
      </c>
      <c r="G29" s="79">
        <v>4800</v>
      </c>
      <c r="H29" s="88">
        <f>(H28*0.12)-3</f>
        <v>7570.2</v>
      </c>
    </row>
    <row r="30" spans="1:8" x14ac:dyDescent="0.2">
      <c r="A30" s="9" t="s">
        <v>58</v>
      </c>
      <c r="B30" s="151"/>
      <c r="C30" s="30">
        <f>SUM(C28:C29)</f>
        <v>48501.4</v>
      </c>
      <c r="D30" s="30">
        <f>SUM(D28:D29)</f>
        <v>47872.920000000006</v>
      </c>
      <c r="E30" s="19">
        <f>SUM(E28:E29)</f>
        <v>73030.3</v>
      </c>
      <c r="F30" s="18">
        <f>SUM(F28:F29)</f>
        <v>52180.04</v>
      </c>
      <c r="G30" s="30">
        <f t="shared" ref="G30:H30" si="3">SUM(G28:G29)</f>
        <v>52800</v>
      </c>
      <c r="H30" s="18">
        <f t="shared" si="3"/>
        <v>70680.2</v>
      </c>
    </row>
    <row r="31" spans="1:8" x14ac:dyDescent="0.2">
      <c r="A31" s="1" t="s">
        <v>8</v>
      </c>
      <c r="D31" s="79"/>
      <c r="E31" s="89"/>
      <c r="F31" s="88"/>
      <c r="G31" s="79"/>
      <c r="H31" s="88"/>
    </row>
    <row r="32" spans="1:8" x14ac:dyDescent="0.2">
      <c r="A32" s="58" t="s">
        <v>67</v>
      </c>
      <c r="D32" s="79"/>
      <c r="E32" s="89"/>
      <c r="F32" s="88"/>
      <c r="G32" s="79"/>
      <c r="H32" s="88"/>
    </row>
    <row r="33" spans="1:8" x14ac:dyDescent="0.2">
      <c r="A33" s="45" t="s">
        <v>254</v>
      </c>
      <c r="B33" s="1" t="str">
        <f>VLOOKUP(A33,'[1]SQL DATA'!$B:$J,3,FALSE)</f>
        <v>R&amp;C - Utility - Heat - Swimming Pool</v>
      </c>
      <c r="C33" s="20">
        <f>VLOOKUP(A33,'[1]SQL DATA'!$B:$K,10,FALSE)</f>
        <v>4852.7700000000004</v>
      </c>
      <c r="D33" s="20">
        <f>VLOOKUP(A33,'[1]SQL DATA'!$B:$J,9,FALSE)</f>
        <v>3200.63</v>
      </c>
      <c r="E33" s="16">
        <f>VLOOKUP(A33,'[1]SQL DATA'!$B:$J,7,FALSE)</f>
        <v>6174.73</v>
      </c>
      <c r="F33" s="15">
        <f>VLOOKUP(A33,'[1]SQL DATA'!$B:$J,6,FALSE)</f>
        <v>1413.84</v>
      </c>
      <c r="G33" s="79">
        <v>5000</v>
      </c>
      <c r="H33" s="88">
        <v>5000</v>
      </c>
    </row>
    <row r="34" spans="1:8" x14ac:dyDescent="0.2">
      <c r="A34" s="45" t="s">
        <v>255</v>
      </c>
      <c r="B34" s="1" t="str">
        <f>VLOOKUP(A34,'[1]SQL DATA'!$B:$J,3,FALSE)</f>
        <v>R&amp;C - Utility - Power - Swimming Pool</v>
      </c>
      <c r="C34" s="20">
        <f>VLOOKUP(A34,'[1]SQL DATA'!$B:$K,10,FALSE)</f>
        <v>3876.76</v>
      </c>
      <c r="D34" s="20">
        <f>VLOOKUP(A34,'[1]SQL DATA'!$B:$J,9,FALSE)</f>
        <v>1941.64</v>
      </c>
      <c r="E34" s="16">
        <f>VLOOKUP(A34,'[1]SQL DATA'!$B:$J,7,FALSE)</f>
        <v>2461.11</v>
      </c>
      <c r="F34" s="15">
        <f>VLOOKUP(A34,'[1]SQL DATA'!$B:$J,6,FALSE)</f>
        <v>1947.67</v>
      </c>
      <c r="G34" s="79">
        <v>4000</v>
      </c>
      <c r="H34" s="88">
        <v>4000</v>
      </c>
    </row>
    <row r="35" spans="1:8" x14ac:dyDescent="0.2">
      <c r="A35" s="45" t="s">
        <v>256</v>
      </c>
      <c r="B35" s="1" t="str">
        <f>VLOOKUP(A35,'[1]SQL DATA'!$B:$J,3,FALSE)</f>
        <v>R&amp;C - Utility - Water - Swimming Pool</v>
      </c>
      <c r="C35" s="20">
        <f>VLOOKUP(A35,'[1]SQL DATA'!$B:$K,10,FALSE)</f>
        <v>609.62</v>
      </c>
      <c r="D35" s="20">
        <f>VLOOKUP(A35,'[1]SQL DATA'!$B:$J,9,FALSE)</f>
        <v>1021.39</v>
      </c>
      <c r="E35" s="16">
        <f>VLOOKUP(A35,'[1]SQL DATA'!$B:$J,7,FALSE)</f>
        <v>1060.33</v>
      </c>
      <c r="F35" s="15">
        <f>VLOOKUP(A35,'[1]SQL DATA'!$B:$J,6,FALSE)</f>
        <v>619.79999999999995</v>
      </c>
      <c r="G35" s="79">
        <v>1000</v>
      </c>
      <c r="H35" s="88">
        <v>1000</v>
      </c>
    </row>
    <row r="36" spans="1:8" x14ac:dyDescent="0.2">
      <c r="A36" s="45" t="s">
        <v>257</v>
      </c>
      <c r="B36" s="1" t="str">
        <f>VLOOKUP(A36,'[1]SQL DATA'!$B:$J,3,FALSE)</f>
        <v>R&amp;C - Utility - Telephone - Swim Pool</v>
      </c>
      <c r="C36" s="20">
        <f>VLOOKUP(A36,'[1]SQL DATA'!$B:$K,10,FALSE)</f>
        <v>447.66</v>
      </c>
      <c r="D36" s="20">
        <f>VLOOKUP(A36,'[1]SQL DATA'!$B:$J,9,FALSE)</f>
        <v>337.93</v>
      </c>
      <c r="E36" s="16">
        <f>VLOOKUP(A36,'[1]SQL DATA'!$B:$J,7,FALSE)</f>
        <v>592.69000000000005</v>
      </c>
      <c r="F36" s="15">
        <f>VLOOKUP(A36,'[1]SQL DATA'!$B:$J,6,FALSE)</f>
        <v>457.74</v>
      </c>
      <c r="G36" s="79">
        <v>500</v>
      </c>
      <c r="H36" s="88">
        <v>500</v>
      </c>
    </row>
    <row r="37" spans="1:8" x14ac:dyDescent="0.2">
      <c r="A37" s="9" t="s">
        <v>72</v>
      </c>
      <c r="B37" s="151"/>
      <c r="C37" s="30">
        <f>SUM(C33:C36)</f>
        <v>9786.8100000000013</v>
      </c>
      <c r="D37" s="30">
        <f>SUM(D33:D36)</f>
        <v>6501.5900000000011</v>
      </c>
      <c r="E37" s="19">
        <f t="shared" ref="E37:H37" si="4">SUM(E33:E36)</f>
        <v>10288.86</v>
      </c>
      <c r="F37" s="18">
        <f t="shared" si="4"/>
        <v>4439.05</v>
      </c>
      <c r="G37" s="30">
        <f t="shared" si="4"/>
        <v>10500</v>
      </c>
      <c r="H37" s="18">
        <f t="shared" si="4"/>
        <v>10500</v>
      </c>
    </row>
    <row r="38" spans="1:8" x14ac:dyDescent="0.2">
      <c r="A38" s="1" t="s">
        <v>8</v>
      </c>
      <c r="D38" s="79"/>
      <c r="E38" s="89"/>
      <c r="F38" s="88"/>
      <c r="G38" s="79"/>
      <c r="H38" s="88"/>
    </row>
    <row r="39" spans="1:8" x14ac:dyDescent="0.2">
      <c r="A39" s="58" t="s">
        <v>59</v>
      </c>
      <c r="B39" s="17"/>
      <c r="D39" s="79"/>
      <c r="E39" s="89"/>
      <c r="F39" s="88"/>
      <c r="G39" s="79"/>
      <c r="H39" s="88"/>
    </row>
    <row r="40" spans="1:8" x14ac:dyDescent="0.2">
      <c r="A40" s="1" t="s">
        <v>258</v>
      </c>
      <c r="B40" s="1" t="str">
        <f>VLOOKUP(A40,'[1]SQL DATA'!$B:$J,3,FALSE)</f>
        <v>R&amp;C Other Contractual Services - Pool</v>
      </c>
      <c r="C40" s="156">
        <v>0</v>
      </c>
      <c r="D40" s="86">
        <v>0</v>
      </c>
      <c r="E40" s="157">
        <v>0</v>
      </c>
      <c r="F40" s="147">
        <v>0</v>
      </c>
      <c r="G40" s="86">
        <v>0</v>
      </c>
      <c r="H40" s="147">
        <v>32200</v>
      </c>
    </row>
    <row r="41" spans="1:8" x14ac:dyDescent="0.2">
      <c r="A41" s="55" t="s">
        <v>66</v>
      </c>
      <c r="C41" s="158">
        <f>SUM(C40)</f>
        <v>0</v>
      </c>
      <c r="D41" s="158">
        <f t="shared" ref="D41:H41" si="5">SUM(D40)</f>
        <v>0</v>
      </c>
      <c r="E41" s="48">
        <f t="shared" si="5"/>
        <v>0</v>
      </c>
      <c r="F41" s="158">
        <f t="shared" si="5"/>
        <v>0</v>
      </c>
      <c r="G41" s="158">
        <f t="shared" si="5"/>
        <v>0</v>
      </c>
      <c r="H41" s="159">
        <f t="shared" si="5"/>
        <v>32200</v>
      </c>
    </row>
    <row r="42" spans="1:8" x14ac:dyDescent="0.2">
      <c r="D42" s="79"/>
      <c r="E42" s="89"/>
      <c r="F42" s="88"/>
      <c r="G42" s="79"/>
      <c r="H42" s="88"/>
    </row>
    <row r="43" spans="1:8" x14ac:dyDescent="0.2">
      <c r="D43" s="79"/>
      <c r="E43" s="89"/>
      <c r="F43" s="88"/>
      <c r="G43" s="79"/>
      <c r="H43" s="88"/>
    </row>
    <row r="44" spans="1:8" x14ac:dyDescent="0.2">
      <c r="A44" s="58" t="s">
        <v>111</v>
      </c>
      <c r="D44" s="79"/>
      <c r="E44" s="89"/>
      <c r="F44" s="88"/>
      <c r="G44" s="79"/>
      <c r="H44" s="88"/>
    </row>
    <row r="45" spans="1:8" ht="14.25" x14ac:dyDescent="0.2">
      <c r="A45" s="45" t="s">
        <v>259</v>
      </c>
      <c r="B45" s="1" t="str">
        <f>VLOOKUP(A45,'[1]SQL DATA'!$B:$J,3,FALSE)</f>
        <v>R&amp;C - Cont. - Insurance - Pool</v>
      </c>
      <c r="C45" s="20">
        <f>VLOOKUP(A45,'[1]SQL DATA'!$B:$K,10,FALSE)</f>
        <v>1056.82</v>
      </c>
      <c r="D45" s="20">
        <f>VLOOKUP(A45,'[1]SQL DATA'!$B:$J,9,FALSE)</f>
        <v>840.64</v>
      </c>
      <c r="E45" s="16">
        <f>VLOOKUP(A45,'[1]SQL DATA'!$B:$J,7,FALSE)</f>
        <v>1443.27</v>
      </c>
      <c r="F45" s="15">
        <f>VLOOKUP(A45,'[1]SQL DATA'!$B:$J,6,FALSE)</f>
        <v>1551.38</v>
      </c>
      <c r="G45" s="79">
        <v>1440</v>
      </c>
      <c r="H45" s="88">
        <v>1550</v>
      </c>
    </row>
    <row r="46" spans="1:8" x14ac:dyDescent="0.2">
      <c r="A46" s="45" t="s">
        <v>260</v>
      </c>
      <c r="B46" s="1" t="str">
        <f>VLOOKUP(A46,'[1]SQL DATA'!$B:$J,3,FALSE)</f>
        <v>R&amp;C - Cont. - Conf. Fees/Training - Pool</v>
      </c>
      <c r="C46" s="20">
        <f>VLOOKUP(A46,'[1]SQL DATA'!$B:$K,10,FALSE)</f>
        <v>673</v>
      </c>
      <c r="D46" s="20">
        <f>VLOOKUP(A46,'[1]SQL DATA'!$B:$J,9,FALSE)</f>
        <v>0</v>
      </c>
      <c r="E46" s="16">
        <f>VLOOKUP(A46,'[1]SQL DATA'!$B:$J,7,FALSE)</f>
        <v>0</v>
      </c>
      <c r="F46" s="15">
        <f>VLOOKUP(A46,'[1]SQL DATA'!$B:$J,6,FALSE)</f>
        <v>1050</v>
      </c>
      <c r="G46" s="79">
        <v>1000</v>
      </c>
      <c r="H46" s="88">
        <v>1000</v>
      </c>
    </row>
    <row r="47" spans="1:8" x14ac:dyDescent="0.2">
      <c r="A47" s="45" t="s">
        <v>261</v>
      </c>
      <c r="B47" s="1" t="str">
        <f>VLOOKUP(A47,'[1]SQL DATA'!$B:$J,3,FALSE)</f>
        <v>R&amp;C - Cont. - Memberships/Subscrip -Pool</v>
      </c>
      <c r="C47" s="20">
        <f>VLOOKUP(A47,'[1]SQL DATA'!$B:$K,10,FALSE)</f>
        <v>362.22</v>
      </c>
      <c r="D47" s="20">
        <f>VLOOKUP(A47,'[1]SQL DATA'!$B:$J,9,FALSE)</f>
        <v>550.21</v>
      </c>
      <c r="E47" s="16">
        <f>VLOOKUP(A47,'[1]SQL DATA'!$B:$J,7,FALSE)</f>
        <v>480.21</v>
      </c>
      <c r="F47" s="15">
        <f>VLOOKUP(A47,'[1]SQL DATA'!$B:$J,6,FALSE)</f>
        <v>605.21</v>
      </c>
      <c r="G47" s="79">
        <v>600</v>
      </c>
      <c r="H47" s="88">
        <v>600</v>
      </c>
    </row>
    <row r="48" spans="1:8" x14ac:dyDescent="0.2">
      <c r="A48" s="45" t="s">
        <v>262</v>
      </c>
      <c r="B48" s="1" t="str">
        <f>VLOOKUP(A48,'[1]SQL DATA'!$B:$J,3,FALSE)</f>
        <v>R&amp;C - Office Supplies - Pool</v>
      </c>
      <c r="C48" s="20">
        <f>VLOOKUP(A48,'[1]SQL DATA'!$B:$K,10,FALSE)</f>
        <v>1506</v>
      </c>
      <c r="D48" s="20">
        <f>VLOOKUP(A48,'[1]SQL DATA'!$B:$J,9,FALSE)</f>
        <v>1013.55</v>
      </c>
      <c r="E48" s="16">
        <f>VLOOKUP(A48,'[1]SQL DATA'!$B:$J,7,FALSE)</f>
        <v>1455.19</v>
      </c>
      <c r="F48" s="15">
        <f>VLOOKUP(A48,'[1]SQL DATA'!$B:$J,6,FALSE)</f>
        <v>963.27</v>
      </c>
      <c r="G48" s="79">
        <v>1500</v>
      </c>
      <c r="H48" s="88">
        <v>1500</v>
      </c>
    </row>
    <row r="49" spans="1:8" x14ac:dyDescent="0.2">
      <c r="A49" s="45" t="s">
        <v>263</v>
      </c>
      <c r="B49" s="1" t="str">
        <f>VLOOKUP(A49,'[1]SQL DATA'!$B:$J,3,FALSE)</f>
        <v>R&amp;C - Supplies - Swimming Pool</v>
      </c>
      <c r="C49" s="20">
        <f>VLOOKUP(A49,'[1]SQL DATA'!$B:$K,10,FALSE)</f>
        <v>3995.6</v>
      </c>
      <c r="D49" s="20">
        <f>VLOOKUP(A49,'[1]SQL DATA'!$B:$J,9,FALSE)</f>
        <v>3943.6</v>
      </c>
      <c r="E49" s="16">
        <f>VLOOKUP(A49,'[1]SQL DATA'!$B:$J,7,FALSE)</f>
        <v>7029.03</v>
      </c>
      <c r="F49" s="15">
        <f>VLOOKUP(A49,'[1]SQL DATA'!$B:$J,6,FALSE)</f>
        <v>3964.83</v>
      </c>
      <c r="G49" s="79">
        <v>4000</v>
      </c>
      <c r="H49" s="88">
        <v>4000</v>
      </c>
    </row>
    <row r="50" spans="1:8" x14ac:dyDescent="0.2">
      <c r="A50" s="45" t="s">
        <v>264</v>
      </c>
      <c r="B50" s="1" t="str">
        <f>VLOOKUP(A50,'[1]SQL DATA'!$B:$J,3,FALSE)</f>
        <v>R&amp;C - Supplies - Chemicals - Pool</v>
      </c>
      <c r="C50" s="160">
        <f>VLOOKUP(A50,'[1]SQL DATA'!$B:$K,10,FALSE)</f>
        <v>0</v>
      </c>
      <c r="D50" s="160">
        <f>VLOOKUP(A50,'[1]SQL DATA'!$B:$J,9,FALSE)</f>
        <v>0</v>
      </c>
      <c r="E50" s="16">
        <f>VLOOKUP(A50,'[1]SQL DATA'!$B:$J,7,FALSE)</f>
        <v>5353.88</v>
      </c>
      <c r="F50" s="15">
        <f>VLOOKUP(A50,'[1]SQL DATA'!$B:$J,6,FALSE)</f>
        <v>4559.53</v>
      </c>
      <c r="G50" s="79">
        <v>6000</v>
      </c>
      <c r="H50" s="88">
        <v>6000</v>
      </c>
    </row>
    <row r="51" spans="1:8" x14ac:dyDescent="0.2">
      <c r="A51" s="45" t="s">
        <v>265</v>
      </c>
      <c r="B51" s="1" t="str">
        <f>VLOOKUP(A51,'[1]SQL DATA'!$B:$J,3,FALSE)</f>
        <v>R&amp;C - Bldg Mat/Supply - Swimming Pool</v>
      </c>
      <c r="C51" s="20">
        <f>VLOOKUP(A51,'[1]SQL DATA'!$B:$K,10,FALSE)</f>
        <v>15823.48</v>
      </c>
      <c r="D51" s="20">
        <f>VLOOKUP(A51,'[1]SQL DATA'!$B:$J,9,FALSE)</f>
        <v>12670.78</v>
      </c>
      <c r="E51" s="16">
        <f>VLOOKUP(A51,'[1]SQL DATA'!$B:$J,7,FALSE)</f>
        <v>5330.76</v>
      </c>
      <c r="F51" s="15">
        <f>VLOOKUP(A51,'[1]SQL DATA'!$B:$J,6,FALSE)</f>
        <v>6870.58</v>
      </c>
      <c r="G51" s="79">
        <v>5000</v>
      </c>
      <c r="H51" s="88">
        <f>10000+6500+22200+3000-32200</f>
        <v>9500</v>
      </c>
    </row>
    <row r="52" spans="1:8" x14ac:dyDescent="0.2">
      <c r="A52" s="9" t="s">
        <v>85</v>
      </c>
      <c r="B52" s="161"/>
      <c r="C52" s="59">
        <f>SUM(C45:C51)</f>
        <v>23417.119999999999</v>
      </c>
      <c r="D52" s="59">
        <f>SUM(D45:D51)</f>
        <v>19018.78</v>
      </c>
      <c r="E52" s="48">
        <f t="shared" ref="E52:H52" si="6">SUM(E45:E51)</f>
        <v>21092.340000000004</v>
      </c>
      <c r="F52" s="47">
        <f t="shared" si="6"/>
        <v>19564.800000000003</v>
      </c>
      <c r="G52" s="59">
        <f t="shared" si="6"/>
        <v>19540</v>
      </c>
      <c r="H52" s="59">
        <f t="shared" si="6"/>
        <v>24150</v>
      </c>
    </row>
    <row r="53" spans="1:8" x14ac:dyDescent="0.2">
      <c r="A53" s="9"/>
      <c r="B53" s="161"/>
      <c r="C53" s="161"/>
      <c r="D53" s="79"/>
      <c r="E53" s="89"/>
      <c r="F53" s="88"/>
      <c r="G53" s="79"/>
      <c r="H53" s="79"/>
    </row>
    <row r="54" spans="1:8" x14ac:dyDescent="0.2">
      <c r="A54" s="34" t="s">
        <v>92</v>
      </c>
      <c r="B54" s="161"/>
      <c r="C54" s="161"/>
      <c r="D54" s="79"/>
      <c r="E54" s="89"/>
      <c r="F54" s="88"/>
      <c r="G54" s="79"/>
      <c r="H54" s="79"/>
    </row>
    <row r="55" spans="1:8" x14ac:dyDescent="0.2">
      <c r="A55" s="45" t="s">
        <v>266</v>
      </c>
      <c r="B55" s="1" t="str">
        <f>VLOOKUP(A55,'[1]SQL DATA'!$B:$J,3,FALSE)</f>
        <v>R&amp;C - Interest &amp; Bank Charges - Pool</v>
      </c>
      <c r="C55" s="20">
        <f>VLOOKUP(A55,'[1]SQL DATA'!$B:$K,10,FALSE)</f>
        <v>102.77</v>
      </c>
      <c r="D55" s="20">
        <f>VLOOKUP(A55,'[1]SQL DATA'!$B:$J,9,FALSE)</f>
        <v>290.95999999999998</v>
      </c>
      <c r="E55" s="16">
        <f>VLOOKUP(A55,'[1]SQL DATA'!$B:$J,7,FALSE)</f>
        <v>388.41</v>
      </c>
      <c r="F55" s="15">
        <f>VLOOKUP(A55,'[1]SQL DATA'!$B:$J,6,FALSE)</f>
        <v>365.05</v>
      </c>
      <c r="G55" s="79">
        <v>300</v>
      </c>
      <c r="H55" s="79">
        <v>300</v>
      </c>
    </row>
    <row r="56" spans="1:8" x14ac:dyDescent="0.2">
      <c r="A56" s="54" t="s">
        <v>94</v>
      </c>
      <c r="B56" s="161"/>
      <c r="C56" s="158">
        <f>SUM(C55)</f>
        <v>102.77</v>
      </c>
      <c r="D56" s="158">
        <f>SUM(D55)</f>
        <v>290.95999999999998</v>
      </c>
      <c r="E56" s="162">
        <f t="shared" ref="E56:H56" si="7">SUM(E55)</f>
        <v>388.41</v>
      </c>
      <c r="F56" s="159">
        <f t="shared" si="7"/>
        <v>365.05</v>
      </c>
      <c r="G56" s="158">
        <f t="shared" si="7"/>
        <v>300</v>
      </c>
      <c r="H56" s="158">
        <f t="shared" si="7"/>
        <v>300</v>
      </c>
    </row>
    <row r="57" spans="1:8" x14ac:dyDescent="0.2">
      <c r="A57" s="9"/>
      <c r="B57" s="161"/>
      <c r="C57" s="161"/>
      <c r="D57" s="79"/>
      <c r="E57" s="89"/>
      <c r="F57" s="88"/>
      <c r="G57" s="79"/>
      <c r="H57" s="79"/>
    </row>
    <row r="58" spans="1:8" x14ac:dyDescent="0.2">
      <c r="A58" s="34" t="s">
        <v>235</v>
      </c>
      <c r="B58" s="161"/>
      <c r="C58" s="161"/>
      <c r="D58" s="79"/>
      <c r="E58" s="89"/>
      <c r="F58" s="88"/>
      <c r="G58" s="79"/>
      <c r="H58" s="79"/>
    </row>
    <row r="59" spans="1:8" x14ac:dyDescent="0.2">
      <c r="A59" s="45" t="s">
        <v>267</v>
      </c>
      <c r="B59" s="1" t="str">
        <f>VLOOKUP(A59,'[1]SQL DATA'!$B:$J,3,FALSE)</f>
        <v>R&amp;C - Purchase of Cap Assets - Pool</v>
      </c>
      <c r="C59" s="20">
        <f>VLOOKUP(A59,'[1]SQL DATA'!$B:$K,10,FALSE)</f>
        <v>0</v>
      </c>
      <c r="D59" s="20">
        <f>VLOOKUP(A59,'[1]SQL DATA'!$B:$J,9,FALSE)</f>
        <v>0</v>
      </c>
      <c r="E59" s="16">
        <f>VLOOKUP(A59,'[1]SQL DATA'!$B:$J,7,FALSE)</f>
        <v>0</v>
      </c>
      <c r="F59" s="15">
        <f>VLOOKUP(A59,'[1]SQL DATA'!$B:$J,6,FALSE)</f>
        <v>30849.5</v>
      </c>
      <c r="G59" s="79">
        <v>0</v>
      </c>
      <c r="H59" s="79">
        <f>10000+20000</f>
        <v>30000</v>
      </c>
    </row>
    <row r="60" spans="1:8" x14ac:dyDescent="0.2">
      <c r="A60" s="63" t="s">
        <v>268</v>
      </c>
      <c r="B60" s="64" t="str">
        <f>VLOOKUP(A60,'[1]SQL DATA'!$B:$J,3,FALSE)</f>
        <v>Transfer to Reserves - Pool</v>
      </c>
      <c r="C60" s="65">
        <f>VLOOKUP(A60,'[1]SQL DATA'!$B:$K,10,FALSE)</f>
        <v>10000</v>
      </c>
      <c r="D60" s="65">
        <f>VLOOKUP(A60,'[1]SQL DATA'!$B:$J,9,FALSE)</f>
        <v>86510.36</v>
      </c>
      <c r="E60" s="65">
        <f>VLOOKUP(A60,'[1]SQL DATA'!$B:$J,7,FALSE)</f>
        <v>32645</v>
      </c>
      <c r="F60" s="65">
        <f>VLOOKUP(A60,'[1]SQL DATA'!$B:$J,6,FALSE)</f>
        <v>0</v>
      </c>
      <c r="G60" s="65">
        <v>20000</v>
      </c>
      <c r="H60" s="65">
        <v>15000</v>
      </c>
    </row>
    <row r="61" spans="1:8" x14ac:dyDescent="0.2">
      <c r="A61" s="9"/>
      <c r="B61" s="161"/>
      <c r="C61" s="161"/>
      <c r="D61" s="79"/>
      <c r="E61" s="89"/>
      <c r="F61" s="88"/>
      <c r="G61" s="79"/>
      <c r="H61" s="79"/>
    </row>
    <row r="62" spans="1:8" x14ac:dyDescent="0.2">
      <c r="A62" s="9"/>
      <c r="B62" s="161"/>
      <c r="C62" s="161"/>
      <c r="D62" s="79"/>
      <c r="E62" s="89"/>
      <c r="F62" s="88"/>
      <c r="G62" s="79"/>
      <c r="H62" s="79"/>
    </row>
    <row r="63" spans="1:8" x14ac:dyDescent="0.2">
      <c r="A63" s="34" t="s">
        <v>21</v>
      </c>
      <c r="B63" s="151"/>
      <c r="C63" s="30">
        <f>C30+C37+C41+C52+C56+C59+C60</f>
        <v>91808.1</v>
      </c>
      <c r="D63" s="30">
        <f t="shared" ref="D63:H63" si="8">D30+D37+D41+D52+D56+D59+D60</f>
        <v>160194.61000000002</v>
      </c>
      <c r="E63" s="19">
        <f t="shared" si="8"/>
        <v>137444.91</v>
      </c>
      <c r="F63" s="30">
        <f t="shared" si="8"/>
        <v>107398.44000000002</v>
      </c>
      <c r="G63" s="30">
        <f t="shared" si="8"/>
        <v>103140</v>
      </c>
      <c r="H63" s="30">
        <f t="shared" si="8"/>
        <v>182830.2</v>
      </c>
    </row>
    <row r="64" spans="1:8" x14ac:dyDescent="0.2">
      <c r="A64" s="34" t="s">
        <v>8</v>
      </c>
      <c r="C64" s="20"/>
      <c r="D64" s="20"/>
      <c r="E64" s="16"/>
      <c r="F64" s="15"/>
      <c r="G64" s="79"/>
      <c r="H64" s="79"/>
    </row>
    <row r="65" spans="1:8" ht="13.5" thickBot="1" x14ac:dyDescent="0.25">
      <c r="A65" s="34" t="s">
        <v>22</v>
      </c>
      <c r="B65" s="151"/>
      <c r="C65" s="69">
        <f>(C24)-C63</f>
        <v>-34594.310000000005</v>
      </c>
      <c r="D65" s="69">
        <f>(D24)-D63</f>
        <v>-41766.150000000023</v>
      </c>
      <c r="E65" s="70">
        <f t="shared" ref="E65:H65" si="9">(E24)-E63</f>
        <v>-54043.660000000018</v>
      </c>
      <c r="F65" s="69">
        <f t="shared" si="9"/>
        <v>-42156.710000000021</v>
      </c>
      <c r="G65" s="69">
        <f t="shared" si="9"/>
        <v>-63240</v>
      </c>
      <c r="H65" s="69">
        <f t="shared" si="9"/>
        <v>-69430.200000000012</v>
      </c>
    </row>
    <row r="66" spans="1:8" ht="13.5" thickTop="1" x14ac:dyDescent="0.2"/>
    <row r="67" spans="1:8" x14ac:dyDescent="0.2">
      <c r="B67" s="163" t="s">
        <v>269</v>
      </c>
    </row>
  </sheetData>
  <pageMargins left="0.74803149606299213" right="0.74803149606299213" top="0.62992125984251968" bottom="0.74803149606299213" header="3.937007874015748E-2" footer="3.937007874015748E-2"/>
  <pageSetup scale="83" pageOrder="overThenDown" orientation="portrait" r:id="rId1"/>
  <headerFooter>
    <oddHeader xml:space="preserve">&amp;C&amp;"Calibri,Bold"&amp;10TOWN OF SHELLBROOK&amp;"Calibri,Regular"
Pool
</oddHeader>
    <oddFooter>&amp;L&amp;P of &amp;N &amp;C&amp;R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B860A-3A76-4632-88AC-6DC2C87F3D0D}">
  <dimension ref="A1:H58"/>
  <sheetViews>
    <sheetView topLeftCell="A10" zoomScale="150" zoomScaleNormal="150" workbookViewId="0">
      <selection activeCell="G9" sqref="G9"/>
    </sheetView>
  </sheetViews>
  <sheetFormatPr defaultColWidth="8.85546875" defaultRowHeight="12.75" x14ac:dyDescent="0.2"/>
  <cols>
    <col min="1" max="1" width="13.28515625" style="1" customWidth="1"/>
    <col min="2" max="2" width="20.7109375" style="37" customWidth="1"/>
    <col min="3" max="4" width="8.140625" style="37" bestFit="1" customWidth="1"/>
    <col min="5" max="5" width="9.140625" style="37" bestFit="1" customWidth="1"/>
    <col min="6" max="6" width="8.140625" style="37" bestFit="1" customWidth="1"/>
    <col min="7" max="7" width="8.5703125" style="37" bestFit="1" customWidth="1"/>
    <col min="8" max="8" width="9.140625" style="37" bestFit="1" customWidth="1"/>
    <col min="9" max="16384" width="8.85546875" style="1"/>
  </cols>
  <sheetData>
    <row r="1" spans="1:8" x14ac:dyDescent="0.2">
      <c r="B1" s="146"/>
      <c r="C1" s="2">
        <v>2019</v>
      </c>
      <c r="D1" s="2">
        <v>2020</v>
      </c>
      <c r="E1" s="3">
        <v>2021</v>
      </c>
      <c r="F1" s="2">
        <v>2022</v>
      </c>
      <c r="G1" s="2">
        <v>2021</v>
      </c>
      <c r="H1" s="2">
        <v>2022</v>
      </c>
    </row>
    <row r="2" spans="1:8" x14ac:dyDescent="0.2">
      <c r="C2" s="4" t="s">
        <v>0</v>
      </c>
      <c r="D2" s="5" t="s">
        <v>0</v>
      </c>
      <c r="E2" s="6" t="s">
        <v>0</v>
      </c>
      <c r="F2" s="5" t="s">
        <v>0</v>
      </c>
      <c r="G2" s="5" t="s">
        <v>1</v>
      </c>
      <c r="H2" s="5" t="s">
        <v>1</v>
      </c>
    </row>
    <row r="3" spans="1:8" x14ac:dyDescent="0.2">
      <c r="A3" s="7" t="s">
        <v>239</v>
      </c>
      <c r="E3" s="164"/>
    </row>
    <row r="4" spans="1:8" x14ac:dyDescent="0.2">
      <c r="A4" s="45" t="s">
        <v>270</v>
      </c>
      <c r="B4" s="1" t="str">
        <f>VLOOKUP(A4,'[1]SQL DATA'!$B:$J,3,FALSE)</f>
        <v>Transfer from Reserves - Park, CG &amp; SG</v>
      </c>
      <c r="C4" s="20">
        <f>VLOOKUP(A4,'[1]SQL DATA'!$B:$K,10,FALSE)</f>
        <v>0</v>
      </c>
      <c r="D4" s="20">
        <f>VLOOKUP(A4,'[1]SQL DATA'!$B:$J,9,FALSE)</f>
        <v>0</v>
      </c>
      <c r="E4" s="16">
        <f>VLOOKUP(A4,'[1]SQL DATA'!$B:$J,7,FALSE)</f>
        <v>0</v>
      </c>
      <c r="F4" s="15">
        <f>VLOOKUP(A4,'[1]SQL DATA'!$B:$J,6,FALSE)</f>
        <v>0</v>
      </c>
      <c r="G4" s="79">
        <v>0</v>
      </c>
      <c r="H4" s="79">
        <v>0</v>
      </c>
    </row>
    <row r="5" spans="1:8" x14ac:dyDescent="0.2">
      <c r="A5" s="37" t="s">
        <v>27</v>
      </c>
      <c r="C5" s="92">
        <f>C4</f>
        <v>0</v>
      </c>
      <c r="D5" s="92">
        <f>D4</f>
        <v>0</v>
      </c>
      <c r="E5" s="91">
        <f>E4</f>
        <v>0</v>
      </c>
      <c r="F5" s="90">
        <f>F4</f>
        <v>0</v>
      </c>
      <c r="G5" s="92">
        <f t="shared" ref="G5:H5" si="0">G4</f>
        <v>0</v>
      </c>
      <c r="H5" s="92">
        <f t="shared" si="0"/>
        <v>0</v>
      </c>
    </row>
    <row r="6" spans="1:8" x14ac:dyDescent="0.2">
      <c r="D6" s="79"/>
      <c r="E6" s="89"/>
      <c r="F6" s="88"/>
      <c r="G6" s="79"/>
      <c r="H6" s="79"/>
    </row>
    <row r="7" spans="1:8" x14ac:dyDescent="0.2">
      <c r="A7" s="45" t="s">
        <v>28</v>
      </c>
      <c r="D7" s="79"/>
      <c r="E7" s="89"/>
      <c r="F7" s="88"/>
      <c r="G7" s="79"/>
      <c r="H7" s="79"/>
    </row>
    <row r="8" spans="1:8" x14ac:dyDescent="0.2">
      <c r="A8" s="45" t="s">
        <v>271</v>
      </c>
      <c r="B8" s="1" t="str">
        <f>VLOOKUP(A8,'[1]SQL DATA'!$B:$J,3,FALSE)</f>
        <v>F&amp;C - Rec Fees - Trailer Park/Campground</v>
      </c>
      <c r="C8" s="20">
        <f>VLOOKUP(A8,'[1]SQL DATA'!$B:$K,10,FALSE)</f>
        <v>17934.349999999999</v>
      </c>
      <c r="D8" s="20">
        <f>VLOOKUP(A8,'[1]SQL DATA'!$B:$J,9,FALSE)</f>
        <v>0</v>
      </c>
      <c r="E8" s="16">
        <f>VLOOKUP(A8,'[1]SQL DATA'!$B:$J,7,FALSE)</f>
        <v>18245.650000000001</v>
      </c>
      <c r="F8" s="15">
        <f>VLOOKUP(A8,'[1]SQL DATA'!$B:$J,6,FALSE)</f>
        <v>14185.81</v>
      </c>
      <c r="G8" s="79">
        <v>24400</v>
      </c>
      <c r="H8" s="79">
        <v>18250</v>
      </c>
    </row>
    <row r="9" spans="1:8" x14ac:dyDescent="0.2">
      <c r="A9" s="45" t="s">
        <v>272</v>
      </c>
      <c r="B9" s="1" t="str">
        <f>VLOOKUP(A9,'[1]SQL DATA'!$B:$J,3,FALSE)</f>
        <v>F&amp;C Rec Fees - SG Private Rentals</v>
      </c>
      <c r="C9" s="20">
        <f>VLOOKUP(A9,'[1]SQL DATA'!$B:$K,10,FALSE)</f>
        <v>0</v>
      </c>
      <c r="D9" s="20">
        <f>VLOOKUP(A9,'[1]SQL DATA'!$B:$J,9,FALSE)</f>
        <v>0</v>
      </c>
      <c r="E9" s="16">
        <f>VLOOKUP(A9,'[1]SQL DATA'!$B:$J,7,FALSE)</f>
        <v>0</v>
      </c>
      <c r="F9" s="15">
        <f>VLOOKUP(A9,'[1]SQL DATA'!$B:$J,6,FALSE)</f>
        <v>670.57</v>
      </c>
      <c r="G9" s="79">
        <v>0</v>
      </c>
      <c r="H9" s="79">
        <v>2000</v>
      </c>
    </row>
    <row r="10" spans="1:8" x14ac:dyDescent="0.2">
      <c r="A10" s="45" t="s">
        <v>273</v>
      </c>
      <c r="B10" s="1" t="str">
        <f>VLOOKUP(A10,'[1]SQL DATA'!$B:$J,3,FALSE)</f>
        <v>F&amp;C - Rec Fees - Sportsgrounds</v>
      </c>
      <c r="C10" s="20">
        <f>VLOOKUP(A10,'[1]SQL DATA'!$B:$K,10,FALSE)</f>
        <v>1240</v>
      </c>
      <c r="D10" s="20">
        <f>VLOOKUP(A10,'[1]SQL DATA'!$B:$J,9,FALSE)</f>
        <v>825</v>
      </c>
      <c r="E10" s="16">
        <f>VLOOKUP(A10,'[1]SQL DATA'!$B:$J,7,FALSE)</f>
        <v>2595</v>
      </c>
      <c r="F10" s="15">
        <f>VLOOKUP(A10,'[1]SQL DATA'!$B:$J,6,FALSE)</f>
        <v>3470</v>
      </c>
      <c r="G10" s="79">
        <v>1200</v>
      </c>
      <c r="H10" s="79">
        <v>1800</v>
      </c>
    </row>
    <row r="11" spans="1:8" x14ac:dyDescent="0.2">
      <c r="A11" s="1" t="s">
        <v>274</v>
      </c>
      <c r="B11" s="1" t="str">
        <f>VLOOKUP(A11,'[1]SQL DATA'!$B:$J,3,FALSE)</f>
        <v>F&amp;C - Rec Program - Wage Recovery BID</v>
      </c>
      <c r="C11" s="20">
        <f>VLOOKUP(A11,'[1]SQL DATA'!$B:$K,10,FALSE)</f>
        <v>4000</v>
      </c>
      <c r="D11" s="20">
        <f>VLOOKUP(A11,'[1]SQL DATA'!$B:$J,9,FALSE)</f>
        <v>4000</v>
      </c>
      <c r="E11" s="16">
        <f>VLOOKUP(A11,'[1]SQL DATA'!$B:$J,7,FALSE)</f>
        <v>4000</v>
      </c>
      <c r="F11" s="15">
        <f>VLOOKUP(A11,'[1]SQL DATA'!$B:$J,6,FALSE)</f>
        <v>4000</v>
      </c>
      <c r="G11" s="165">
        <v>4000</v>
      </c>
      <c r="H11" s="165">
        <v>4000</v>
      </c>
    </row>
    <row r="12" spans="1:8" ht="14.25" x14ac:dyDescent="0.2">
      <c r="A12" s="45" t="s">
        <v>275</v>
      </c>
      <c r="B12" s="1" t="str">
        <f>VLOOKUP(A12,'[1]SQL DATA'!$B:$J,3,FALSE)</f>
        <v>F&amp;C - Donations - CG/SG &amp; Parks</v>
      </c>
      <c r="C12" s="20">
        <f>VLOOKUP(A12,'[1]SQL DATA'!$B:$K,10,FALSE)</f>
        <v>1700</v>
      </c>
      <c r="D12" s="20">
        <f>VLOOKUP(A12,'[1]SQL DATA'!$B:$J,9,FALSE)</f>
        <v>6431.27</v>
      </c>
      <c r="E12" s="16">
        <f>VLOOKUP(A12,'[1]SQL DATA'!$B:$J,7,FALSE)</f>
        <v>4100</v>
      </c>
      <c r="F12" s="15">
        <f>VLOOKUP(A12,'[1]SQL DATA'!$B:$J,6,FALSE)</f>
        <v>0.02</v>
      </c>
      <c r="G12" s="79">
        <v>0</v>
      </c>
      <c r="H12" s="79">
        <v>0</v>
      </c>
    </row>
    <row r="13" spans="1:8" x14ac:dyDescent="0.2">
      <c r="A13" s="9" t="s">
        <v>42</v>
      </c>
      <c r="B13" s="151"/>
      <c r="C13" s="92">
        <f>C12</f>
        <v>1700</v>
      </c>
      <c r="D13" s="66">
        <f>SUM(D8:D12)</f>
        <v>11256.27</v>
      </c>
      <c r="E13" s="68">
        <f>SUM(E8:E12)</f>
        <v>28940.65</v>
      </c>
      <c r="F13" s="67">
        <f>SUM(F8:F12)</f>
        <v>22326.399999999998</v>
      </c>
      <c r="G13" s="66">
        <f>SUM(G8:G12)</f>
        <v>29600</v>
      </c>
      <c r="H13" s="66">
        <f>SUM(H8:H12)</f>
        <v>26050</v>
      </c>
    </row>
    <row r="14" spans="1:8" x14ac:dyDescent="0.2">
      <c r="A14" s="9"/>
      <c r="B14" s="151"/>
      <c r="C14" s="151"/>
      <c r="D14" s="152"/>
      <c r="E14" s="153"/>
      <c r="F14" s="154"/>
      <c r="G14" s="152"/>
      <c r="H14" s="152"/>
    </row>
    <row r="15" spans="1:8" ht="15" x14ac:dyDescent="0.25">
      <c r="A15" s="166" t="s">
        <v>43</v>
      </c>
      <c r="B15" s="151"/>
      <c r="C15" s="151"/>
      <c r="D15" s="152"/>
      <c r="E15" s="153"/>
      <c r="F15" s="154"/>
      <c r="G15" s="152"/>
      <c r="H15" s="152"/>
    </row>
    <row r="16" spans="1:8" x14ac:dyDescent="0.2">
      <c r="A16" s="45" t="s">
        <v>276</v>
      </c>
      <c r="B16" s="167" t="s">
        <v>277</v>
      </c>
      <c r="C16" s="20">
        <f>VLOOKUP(A16,'[1]SQL DATA'!$B:$K,10,FALSE)</f>
        <v>0</v>
      </c>
      <c r="D16" s="20">
        <f>VLOOKUP(A16,'[1]SQL DATA'!$B:$J,9,FALSE)</f>
        <v>0</v>
      </c>
      <c r="E16" s="16">
        <f>VLOOKUP(A16,'[1]SQL DATA'!$B:$J,7,FALSE)</f>
        <v>1200</v>
      </c>
      <c r="F16" s="15">
        <f>VLOOKUP(A16,'[1]SQL DATA'!$B:$J,6,FALSE)</f>
        <v>400</v>
      </c>
      <c r="G16" s="121">
        <v>1600</v>
      </c>
      <c r="H16" s="121">
        <v>0</v>
      </c>
    </row>
    <row r="17" spans="1:8" x14ac:dyDescent="0.2">
      <c r="A17" s="9" t="s">
        <v>50</v>
      </c>
      <c r="B17" s="167"/>
      <c r="C17" s="92">
        <f>+C16</f>
        <v>0</v>
      </c>
      <c r="D17" s="92">
        <f>+D16</f>
        <v>0</v>
      </c>
      <c r="E17" s="91">
        <f>+E16</f>
        <v>1200</v>
      </c>
      <c r="F17" s="90">
        <f>+F16</f>
        <v>400</v>
      </c>
      <c r="G17" s="92">
        <f t="shared" ref="G17:H17" si="1">+G16</f>
        <v>1600</v>
      </c>
      <c r="H17" s="92">
        <f t="shared" si="1"/>
        <v>0</v>
      </c>
    </row>
    <row r="18" spans="1:8" x14ac:dyDescent="0.2">
      <c r="A18" s="45"/>
      <c r="B18" s="167"/>
      <c r="C18" s="20"/>
      <c r="D18" s="20"/>
      <c r="E18" s="16"/>
      <c r="F18" s="15"/>
      <c r="G18" s="121"/>
      <c r="H18" s="121"/>
    </row>
    <row r="19" spans="1:8" x14ac:dyDescent="0.2">
      <c r="A19" s="34" t="s">
        <v>7</v>
      </c>
      <c r="B19" s="151"/>
      <c r="C19" s="168">
        <f>+C5+C17+C13+C5</f>
        <v>1700</v>
      </c>
      <c r="D19" s="168">
        <f t="shared" ref="D19:H19" si="2">+D17+D13+D5</f>
        <v>11256.27</v>
      </c>
      <c r="E19" s="169">
        <f t="shared" si="2"/>
        <v>30140.65</v>
      </c>
      <c r="F19" s="170">
        <f t="shared" si="2"/>
        <v>22726.399999999998</v>
      </c>
      <c r="G19" s="168">
        <f t="shared" si="2"/>
        <v>31200</v>
      </c>
      <c r="H19" s="168">
        <f t="shared" si="2"/>
        <v>26050</v>
      </c>
    </row>
    <row r="20" spans="1:8" x14ac:dyDescent="0.2">
      <c r="A20" s="34"/>
      <c r="B20" s="151"/>
      <c r="C20" s="151"/>
      <c r="D20" s="152"/>
      <c r="E20" s="153"/>
      <c r="F20" s="154"/>
      <c r="G20" s="152"/>
      <c r="H20" s="152"/>
    </row>
    <row r="21" spans="1:8" x14ac:dyDescent="0.2">
      <c r="A21" s="7" t="s">
        <v>9</v>
      </c>
      <c r="D21" s="79"/>
      <c r="E21" s="89"/>
      <c r="F21" s="88"/>
      <c r="G21" s="79"/>
      <c r="H21" s="79"/>
    </row>
    <row r="22" spans="1:8" x14ac:dyDescent="0.2">
      <c r="A22" s="45" t="s">
        <v>51</v>
      </c>
      <c r="D22" s="79"/>
      <c r="E22" s="89"/>
      <c r="F22" s="88"/>
      <c r="G22" s="79"/>
      <c r="H22" s="79"/>
    </row>
    <row r="23" spans="1:8" x14ac:dyDescent="0.2">
      <c r="A23" s="45" t="s">
        <v>278</v>
      </c>
      <c r="B23" s="1" t="str">
        <f>VLOOKUP(A23,'[1]SQL DATA'!$B:$J,3,FALSE)</f>
        <v>R&amp;C - Salaries - Parks</v>
      </c>
      <c r="C23" s="160">
        <f>VLOOKUP(A23,'[1]SQL DATA'!$B:$K,10,FALSE)</f>
        <v>0</v>
      </c>
      <c r="D23" s="20">
        <f>VLOOKUP(A23,'[1]SQL DATA'!$B:$J,9,FALSE)</f>
        <v>50227.08</v>
      </c>
      <c r="E23" s="16">
        <f>VLOOKUP(A23,'[1]SQL DATA'!$B:$J,7,FALSE)</f>
        <v>69546.05</v>
      </c>
      <c r="F23" s="15">
        <f>VLOOKUP(A23,'[1]SQL DATA'!$B:$J,6,FALSE)</f>
        <v>42637.19</v>
      </c>
      <c r="G23" s="79">
        <v>53000</v>
      </c>
      <c r="H23" s="88">
        <v>25000</v>
      </c>
    </row>
    <row r="24" spans="1:8" x14ac:dyDescent="0.2">
      <c r="A24" s="45" t="s">
        <v>279</v>
      </c>
      <c r="B24" s="1" t="str">
        <f>VLOOKUP(A24,'[1]SQL DATA'!$B:$J,3,FALSE)</f>
        <v>R&amp;C - Benefits - Parks - CPP</v>
      </c>
      <c r="C24" s="20">
        <f>VLOOKUP(A24,'[1]SQL DATA'!$B:$K,10,FALSE)</f>
        <v>1673.23</v>
      </c>
      <c r="D24" s="20">
        <f>VLOOKUP(A24,'[1]SQL DATA'!$B:$J,9,FALSE)</f>
        <v>2469.65</v>
      </c>
      <c r="E24" s="16">
        <f>VLOOKUP(A24,'[1]SQL DATA'!$B:$J,7,FALSE)</f>
        <v>3153.92</v>
      </c>
      <c r="F24" s="15">
        <f>VLOOKUP(A24,'[1]SQL DATA'!$B:$J,6,FALSE)</f>
        <v>2964.04</v>
      </c>
      <c r="G24" s="79">
        <v>2620</v>
      </c>
      <c r="H24" s="88">
        <v>1000</v>
      </c>
    </row>
    <row r="25" spans="1:8" x14ac:dyDescent="0.2">
      <c r="A25" s="45" t="s">
        <v>280</v>
      </c>
      <c r="B25" s="1" t="str">
        <f>VLOOKUP(A25,'[1]SQL DATA'!$B:$J,3,FALSE)</f>
        <v>R&amp;C - Benefits - Parks - EI</v>
      </c>
      <c r="C25" s="20">
        <f>VLOOKUP(A25,'[1]SQL DATA'!$B:$K,10,FALSE)</f>
        <v>1391.52</v>
      </c>
      <c r="D25" s="20">
        <f>VLOOKUP(A25,'[1]SQL DATA'!$B:$J,9,FALSE)</f>
        <v>1016.79</v>
      </c>
      <c r="E25" s="16">
        <f>VLOOKUP(A25,'[1]SQL DATA'!$B:$J,7,FALSE)</f>
        <v>1583.01</v>
      </c>
      <c r="F25" s="15">
        <f>VLOOKUP(A25,'[1]SQL DATA'!$B:$J,6,FALSE)</f>
        <v>1197.78</v>
      </c>
      <c r="G25" s="79">
        <v>1350</v>
      </c>
      <c r="H25" s="88">
        <v>400</v>
      </c>
    </row>
    <row r="26" spans="1:8" x14ac:dyDescent="0.2">
      <c r="A26" s="45" t="s">
        <v>281</v>
      </c>
      <c r="B26" s="1" t="str">
        <f>VLOOKUP(A26,'[1]SQL DATA'!$B:$J,3,FALSE)</f>
        <v>R&amp;C - Benefits - Parks - MEPP</v>
      </c>
      <c r="C26" s="20">
        <f>VLOOKUP(A26,'[1]SQL DATA'!$B:$K,10,FALSE)</f>
        <v>3342.2</v>
      </c>
      <c r="D26" s="20">
        <f>VLOOKUP(A26,'[1]SQL DATA'!$B:$J,9,FALSE)</f>
        <v>4519.66</v>
      </c>
      <c r="E26" s="16">
        <f>VLOOKUP(A26,'[1]SQL DATA'!$B:$J,7,FALSE)</f>
        <v>5826.7</v>
      </c>
      <c r="F26" s="15">
        <f>VLOOKUP(A26,'[1]SQL DATA'!$B:$J,6,FALSE)</f>
        <v>3473.94</v>
      </c>
      <c r="G26" s="79">
        <v>4770</v>
      </c>
      <c r="H26" s="88">
        <f>(H23*0.095)+5</f>
        <v>2380</v>
      </c>
    </row>
    <row r="27" spans="1:8" x14ac:dyDescent="0.2">
      <c r="A27" s="45" t="s">
        <v>282</v>
      </c>
      <c r="B27" s="1" t="str">
        <f>VLOOKUP(A27,'[1]SQL DATA'!$B:$J,3,FALSE)</f>
        <v>R&amp;C - Benefits - Parks - WCB</v>
      </c>
      <c r="C27" s="20">
        <f>VLOOKUP(A27,'[1]SQL DATA'!$B:$K,10,FALSE)</f>
        <v>633.59</v>
      </c>
      <c r="D27" s="20">
        <f>VLOOKUP(A27,'[1]SQL DATA'!$B:$J,9,FALSE)</f>
        <v>625.4</v>
      </c>
      <c r="E27" s="16">
        <f>VLOOKUP(A27,'[1]SQL DATA'!$B:$J,7,FALSE)</f>
        <v>644.04</v>
      </c>
      <c r="F27" s="15">
        <f>VLOOKUP(A27,'[1]SQL DATA'!$B:$J,6,FALSE)</f>
        <v>654.49</v>
      </c>
      <c r="G27" s="79">
        <v>650</v>
      </c>
      <c r="H27" s="88">
        <v>650</v>
      </c>
    </row>
    <row r="28" spans="1:8" x14ac:dyDescent="0.2">
      <c r="A28" s="45" t="s">
        <v>283</v>
      </c>
      <c r="B28" s="1" t="str">
        <f>VLOOKUP(A28,'[1]SQL DATA'!$B:$J,3,FALSE)</f>
        <v>R&amp;C - Benefits - Parks - Group</v>
      </c>
      <c r="C28" s="20">
        <f>VLOOKUP(A28,'[1]SQL DATA'!$B:$K,10,FALSE)</f>
        <v>2366.09</v>
      </c>
      <c r="D28" s="20">
        <f>VLOOKUP(A28,'[1]SQL DATA'!$B:$J,9,FALSE)</f>
        <v>3957.49</v>
      </c>
      <c r="E28" s="16">
        <f>VLOOKUP(A28,'[1]SQL DATA'!$B:$J,7,FALSE)</f>
        <v>5599.52</v>
      </c>
      <c r="F28" s="15">
        <f>VLOOKUP(A28,'[1]SQL DATA'!$B:$J,6,FALSE)</f>
        <v>3308.17</v>
      </c>
      <c r="G28" s="79">
        <v>4000</v>
      </c>
      <c r="H28" s="88">
        <f>310*5</f>
        <v>1550</v>
      </c>
    </row>
    <row r="29" spans="1:8" x14ac:dyDescent="0.2">
      <c r="A29" s="9" t="s">
        <v>58</v>
      </c>
      <c r="B29" s="151"/>
      <c r="C29" s="30">
        <f>SUM(C23:C28)</f>
        <v>9406.630000000001</v>
      </c>
      <c r="D29" s="30">
        <f>SUM(D23:D28)</f>
        <v>62816.070000000007</v>
      </c>
      <c r="E29" s="19">
        <f>SUM(E23:E28)</f>
        <v>86353.239999999991</v>
      </c>
      <c r="F29" s="18">
        <f>SUM(F23:F28)</f>
        <v>54235.61</v>
      </c>
      <c r="G29" s="30">
        <f t="shared" ref="G29:H29" si="3">SUM(G23:G28)</f>
        <v>66390</v>
      </c>
      <c r="H29" s="30">
        <f t="shared" si="3"/>
        <v>30980</v>
      </c>
    </row>
    <row r="30" spans="1:8" x14ac:dyDescent="0.2">
      <c r="A30" s="1" t="s">
        <v>8</v>
      </c>
      <c r="D30" s="79"/>
      <c r="E30" s="89"/>
      <c r="F30" s="88"/>
      <c r="G30" s="79"/>
      <c r="H30" s="79"/>
    </row>
    <row r="31" spans="1:8" x14ac:dyDescent="0.2">
      <c r="A31" s="45" t="s">
        <v>59</v>
      </c>
      <c r="D31" s="79"/>
      <c r="E31" s="89"/>
      <c r="F31" s="88"/>
      <c r="G31" s="79"/>
      <c r="H31" s="79"/>
    </row>
    <row r="32" spans="1:8" x14ac:dyDescent="0.2">
      <c r="A32" s="45" t="s">
        <v>284</v>
      </c>
      <c r="B32" s="1" t="str">
        <f>VLOOKUP(A32,'[1]SQL DATA'!$B:$J,3,FALSE)</f>
        <v>R&amp;C - Cont. - Contracted Maint. - Parks</v>
      </c>
      <c r="C32" s="20">
        <f>VLOOKUP(A32,'[1]SQL DATA'!$B:$K,10,FALSE)</f>
        <v>20900.66</v>
      </c>
      <c r="D32" s="20">
        <f>VLOOKUP(A32,'[1]SQL DATA'!$B:$J,9,FALSE)</f>
        <v>6576.65</v>
      </c>
      <c r="E32" s="16">
        <f>VLOOKUP(A32,'[1]SQL DATA'!$B:$J,7,FALSE)</f>
        <v>-3823</v>
      </c>
      <c r="F32" s="15">
        <f>VLOOKUP(A32,'[1]SQL DATA'!$B:$J,6,FALSE)</f>
        <v>402.5</v>
      </c>
      <c r="G32" s="79">
        <v>5000</v>
      </c>
      <c r="H32" s="79">
        <v>5000</v>
      </c>
    </row>
    <row r="33" spans="1:8" x14ac:dyDescent="0.2">
      <c r="A33" s="9" t="s">
        <v>66</v>
      </c>
      <c r="B33" s="151"/>
      <c r="C33" s="30">
        <f>SUM(C32)</f>
        <v>20900.66</v>
      </c>
      <c r="D33" s="30">
        <f>SUM(D32)</f>
        <v>6576.65</v>
      </c>
      <c r="E33" s="19">
        <f>SUM(E32)</f>
        <v>-3823</v>
      </c>
      <c r="F33" s="18">
        <f>SUM(F32)</f>
        <v>402.5</v>
      </c>
      <c r="G33" s="30">
        <f t="shared" ref="G33:H33" si="4">SUM(G32)</f>
        <v>5000</v>
      </c>
      <c r="H33" s="30">
        <f t="shared" si="4"/>
        <v>5000</v>
      </c>
    </row>
    <row r="34" spans="1:8" x14ac:dyDescent="0.2">
      <c r="A34" s="1" t="s">
        <v>8</v>
      </c>
      <c r="D34" s="79"/>
      <c r="E34" s="89"/>
      <c r="F34" s="88"/>
      <c r="G34" s="79"/>
      <c r="H34" s="79"/>
    </row>
    <row r="35" spans="1:8" x14ac:dyDescent="0.2">
      <c r="A35" s="45" t="s">
        <v>67</v>
      </c>
      <c r="D35" s="79"/>
      <c r="E35" s="89"/>
      <c r="F35" s="88"/>
      <c r="G35" s="79"/>
      <c r="H35" s="79"/>
    </row>
    <row r="36" spans="1:8" x14ac:dyDescent="0.2">
      <c r="A36" s="45" t="s">
        <v>285</v>
      </c>
      <c r="B36" s="1" t="str">
        <f>VLOOKUP(A36,'[1]SQL DATA'!$B:$J,3,FALSE)</f>
        <v>R&amp;C - Utility - Heat - Parks, CG &amp; SG</v>
      </c>
      <c r="C36" s="20">
        <f>VLOOKUP(A36,'[1]SQL DATA'!$B:$K,10,FALSE)</f>
        <v>601.97</v>
      </c>
      <c r="D36" s="20">
        <f>VLOOKUP(A36,'[1]SQL DATA'!$B:$J,9,FALSE)</f>
        <v>77.569999999999993</v>
      </c>
      <c r="E36" s="16">
        <f>VLOOKUP(A36,'[1]SQL DATA'!$B:$J,7,FALSE)</f>
        <v>552.04</v>
      </c>
      <c r="F36" s="15">
        <f>VLOOKUP(A36,'[1]SQL DATA'!$B:$J,6,FALSE)</f>
        <v>252.31</v>
      </c>
      <c r="G36" s="79">
        <v>600</v>
      </c>
      <c r="H36" s="79">
        <v>600</v>
      </c>
    </row>
    <row r="37" spans="1:8" x14ac:dyDescent="0.2">
      <c r="A37" s="45" t="s">
        <v>286</v>
      </c>
      <c r="B37" s="1" t="str">
        <f>VLOOKUP(A37,'[1]SQL DATA'!$B:$J,3,FALSE)</f>
        <v>R&amp;C - Utility - Power - Parks, CG &amp; SG</v>
      </c>
      <c r="C37" s="20">
        <f>VLOOKUP(A37,'[1]SQL DATA'!$B:$K,10,FALSE)</f>
        <v>7217.12</v>
      </c>
      <c r="D37" s="20">
        <f>VLOOKUP(A37,'[1]SQL DATA'!$B:$J,9,FALSE)</f>
        <v>1046.8</v>
      </c>
      <c r="E37" s="16">
        <f>VLOOKUP(A37,'[1]SQL DATA'!$B:$J,7,FALSE)</f>
        <v>3793.66</v>
      </c>
      <c r="F37" s="15">
        <f>VLOOKUP(A37,'[1]SQL DATA'!$B:$J,6,FALSE)</f>
        <v>3065.16</v>
      </c>
      <c r="G37" s="79">
        <v>7220</v>
      </c>
      <c r="H37" s="79">
        <v>4100</v>
      </c>
    </row>
    <row r="38" spans="1:8" x14ac:dyDescent="0.2">
      <c r="A38" s="45" t="s">
        <v>287</v>
      </c>
      <c r="B38" s="1" t="str">
        <f>VLOOKUP(A38,'[1]SQL DATA'!$B:$J,3,FALSE)</f>
        <v>R&amp;C - Utility - Water - Parks, CG &amp; SG</v>
      </c>
      <c r="C38" s="20">
        <f>VLOOKUP(A38,'[1]SQL DATA'!$B:$K,10,FALSE)</f>
        <v>0</v>
      </c>
      <c r="D38" s="20">
        <f>VLOOKUP(A38,'[1]SQL DATA'!$B:$J,9,FALSE)</f>
        <v>0</v>
      </c>
      <c r="E38" s="16">
        <f>VLOOKUP(A38,'[1]SQL DATA'!$B:$J,7,FALSE)</f>
        <v>0</v>
      </c>
      <c r="F38" s="15">
        <f>VLOOKUP(A38,'[1]SQL DATA'!$B:$J,6,FALSE)</f>
        <v>0</v>
      </c>
      <c r="G38" s="79">
        <v>0</v>
      </c>
      <c r="H38" s="79">
        <v>0</v>
      </c>
    </row>
    <row r="39" spans="1:8" x14ac:dyDescent="0.2">
      <c r="A39" s="45" t="s">
        <v>288</v>
      </c>
      <c r="B39" s="1" t="str">
        <f>VLOOKUP(A39,'[1]SQL DATA'!$B:$J,3,FALSE)</f>
        <v>R&amp;C - Utility - Telephone -Tourist Booth</v>
      </c>
      <c r="C39" s="20">
        <f>VLOOKUP(A39,'[1]SQL DATA'!$B:$K,10,FALSE)</f>
        <v>1176.45</v>
      </c>
      <c r="D39" s="20">
        <f>VLOOKUP(A39,'[1]SQL DATA'!$B:$J,9,FALSE)</f>
        <v>325.94</v>
      </c>
      <c r="E39" s="16">
        <f>VLOOKUP(A39,'[1]SQL DATA'!$B:$J,7,FALSE)</f>
        <v>1147.19</v>
      </c>
      <c r="F39" s="15">
        <f>VLOOKUP(A39,'[1]SQL DATA'!$B:$J,6,FALSE)</f>
        <v>904.53</v>
      </c>
      <c r="G39" s="79">
        <v>1200</v>
      </c>
      <c r="H39" s="79">
        <v>1200</v>
      </c>
    </row>
    <row r="40" spans="1:8" x14ac:dyDescent="0.2">
      <c r="A40" s="9" t="s">
        <v>72</v>
      </c>
      <c r="B40" s="151"/>
      <c r="C40" s="30">
        <f>SUM(C36:C39)</f>
        <v>8995.5400000000009</v>
      </c>
      <c r="D40" s="30">
        <f>SUM(D36:D39)</f>
        <v>1450.31</v>
      </c>
      <c r="E40" s="19">
        <f>SUM(E36:E39)</f>
        <v>5492.8899999999994</v>
      </c>
      <c r="F40" s="18">
        <f>SUM(F36:F39)</f>
        <v>4222</v>
      </c>
      <c r="G40" s="30">
        <f t="shared" ref="G40:H40" si="5">SUM(G36:G39)</f>
        <v>9020</v>
      </c>
      <c r="H40" s="30">
        <f t="shared" si="5"/>
        <v>5900</v>
      </c>
    </row>
    <row r="41" spans="1:8" x14ac:dyDescent="0.2">
      <c r="A41" s="1" t="s">
        <v>8</v>
      </c>
      <c r="D41" s="79"/>
      <c r="E41" s="89"/>
      <c r="F41" s="88"/>
      <c r="G41" s="79"/>
      <c r="H41" s="79"/>
    </row>
    <row r="42" spans="1:8" x14ac:dyDescent="0.2">
      <c r="D42" s="79"/>
      <c r="E42" s="89"/>
      <c r="F42" s="88"/>
      <c r="G42" s="79"/>
      <c r="H42" s="79"/>
    </row>
    <row r="43" spans="1:8" x14ac:dyDescent="0.2">
      <c r="A43" s="45" t="s">
        <v>111</v>
      </c>
      <c r="D43" s="79"/>
      <c r="E43" s="89"/>
      <c r="F43" s="88"/>
      <c r="G43" s="79"/>
      <c r="H43" s="79"/>
    </row>
    <row r="44" spans="1:8" x14ac:dyDescent="0.2">
      <c r="A44" s="45" t="s">
        <v>289</v>
      </c>
      <c r="B44" s="1" t="str">
        <f>VLOOKUP(A44,'[1]SQL DATA'!$B:$J,3,FALSE)</f>
        <v>R&amp;C - Cont. - Insurance - Parks, CG &amp; SG</v>
      </c>
      <c r="C44" s="20">
        <f>VLOOKUP(A44,'[1]SQL DATA'!$B:$K,10,FALSE)</f>
        <v>1790.34</v>
      </c>
      <c r="D44" s="20">
        <f>VLOOKUP(A44,'[1]SQL DATA'!$B:$J,9,FALSE)</f>
        <v>1331.48</v>
      </c>
      <c r="E44" s="16">
        <f>VLOOKUP(A44,'[1]SQL DATA'!$B:$J,7,FALSE)</f>
        <v>2864.79</v>
      </c>
      <c r="F44" s="15">
        <f>VLOOKUP(A44,'[1]SQL DATA'!$B:$J,6,FALSE)</f>
        <v>2954.36</v>
      </c>
      <c r="G44" s="79">
        <v>2750</v>
      </c>
      <c r="H44" s="79">
        <v>2750</v>
      </c>
    </row>
    <row r="45" spans="1:8" x14ac:dyDescent="0.2">
      <c r="A45" s="45" t="s">
        <v>290</v>
      </c>
      <c r="B45" s="1" t="str">
        <f>VLOOKUP(A45,'[1]SQL DATA'!$B:$J,3,FALSE)</f>
        <v>R&amp;C - Cont. - Conf. Fees/Train - Parks</v>
      </c>
      <c r="C45" s="20">
        <f>VLOOKUP(A45,'[1]SQL DATA'!$B:$K,10,FALSE)</f>
        <v>1224.18</v>
      </c>
      <c r="D45" s="20">
        <f>VLOOKUP(A45,'[1]SQL DATA'!$B:$J,9,FALSE)</f>
        <v>600</v>
      </c>
      <c r="E45" s="16">
        <f>VLOOKUP(A45,'[1]SQL DATA'!$B:$J,7,FALSE)</f>
        <v>2039.5</v>
      </c>
      <c r="F45" s="15">
        <f>VLOOKUP(A45,'[1]SQL DATA'!$B:$J,6,FALSE)</f>
        <v>302.54000000000002</v>
      </c>
      <c r="G45" s="79">
        <v>1200</v>
      </c>
      <c r="H45" s="79">
        <v>1200</v>
      </c>
    </row>
    <row r="46" spans="1:8" x14ac:dyDescent="0.2">
      <c r="A46" s="45" t="s">
        <v>291</v>
      </c>
      <c r="B46" s="1" t="str">
        <f>VLOOKUP(A46,'[1]SQL DATA'!$B:$J,3,FALSE)</f>
        <v>R&amp;C - Cont. - Contract Equip. Rprs Parks</v>
      </c>
      <c r="C46" s="20">
        <f>VLOOKUP(A46,'[1]SQL DATA'!$B:$K,10,FALSE)</f>
        <v>327.39999999999998</v>
      </c>
      <c r="D46" s="20">
        <f>VLOOKUP(A46,'[1]SQL DATA'!$B:$J,9,FALSE)</f>
        <v>86.67</v>
      </c>
      <c r="E46" s="16">
        <f>VLOOKUP(A46,'[1]SQL DATA'!$B:$J,7,FALSE)</f>
        <v>500</v>
      </c>
      <c r="F46" s="15">
        <f>VLOOKUP(A46,'[1]SQL DATA'!$B:$J,6,FALSE)</f>
        <v>0</v>
      </c>
      <c r="G46" s="79">
        <v>500</v>
      </c>
      <c r="H46" s="79">
        <v>500</v>
      </c>
    </row>
    <row r="47" spans="1:8" x14ac:dyDescent="0.2">
      <c r="A47" s="45" t="s">
        <v>292</v>
      </c>
      <c r="B47" s="1" t="str">
        <f>VLOOKUP(A47,'[1]SQL DATA'!$B:$J,3,FALSE)</f>
        <v>R&amp;C - Cont. - Building Maintenance Parks</v>
      </c>
      <c r="C47" s="20">
        <f>VLOOKUP(A47,'[1]SQL DATA'!$B:$K,10,FALSE)</f>
        <v>5240.8599999999997</v>
      </c>
      <c r="D47" s="20">
        <f>VLOOKUP(A47,'[1]SQL DATA'!$B:$J,9,FALSE)</f>
        <v>1371.51</v>
      </c>
      <c r="E47" s="16">
        <f>VLOOKUP(A47,'[1]SQL DATA'!$B:$J,7,FALSE)</f>
        <v>27352.02</v>
      </c>
      <c r="F47" s="15">
        <f>VLOOKUP(A47,'[1]SQL DATA'!$B:$J,6,FALSE)</f>
        <v>7768.54</v>
      </c>
      <c r="G47" s="79">
        <v>16820</v>
      </c>
      <c r="H47" s="79">
        <f>6000+16820+3000+4500-3000-9000</f>
        <v>18320</v>
      </c>
    </row>
    <row r="48" spans="1:8" x14ac:dyDescent="0.2">
      <c r="A48" s="45" t="s">
        <v>293</v>
      </c>
      <c r="B48" s="1" t="str">
        <f>VLOOKUP(A48,'[1]SQL DATA'!$B:$J,3,FALSE)</f>
        <v>R&amp;C - Supplies (includes fuel/oil) Parks</v>
      </c>
      <c r="C48" s="20">
        <f>VLOOKUP(A48,'[1]SQL DATA'!$B:$K,10,FALSE)</f>
        <v>5533.2</v>
      </c>
      <c r="D48" s="20">
        <f>VLOOKUP(A48,'[1]SQL DATA'!$B:$J,9,FALSE)</f>
        <v>4221.91</v>
      </c>
      <c r="E48" s="16">
        <f>VLOOKUP(A48,'[1]SQL DATA'!$B:$J,7,FALSE)</f>
        <v>8283.69</v>
      </c>
      <c r="F48" s="15">
        <f>VLOOKUP(A48,'[1]SQL DATA'!$B:$J,6,FALSE)</f>
        <v>2505.4499999999998</v>
      </c>
      <c r="G48" s="79">
        <v>6000</v>
      </c>
      <c r="H48" s="79">
        <v>8300</v>
      </c>
    </row>
    <row r="49" spans="1:8" x14ac:dyDescent="0.2">
      <c r="A49" s="45" t="s">
        <v>294</v>
      </c>
      <c r="B49" s="1" t="str">
        <f>VLOOKUP(A49,'[1]SQL DATA'!$B:$J,3,FALSE)</f>
        <v>R&amp;C - Small Tools &amp; Equip. - Parks/CG/SG</v>
      </c>
      <c r="C49" s="20">
        <f>VLOOKUP(A49,'[1]SQL DATA'!$B:$K,10,FALSE)</f>
        <v>300.06</v>
      </c>
      <c r="D49" s="20">
        <f>VLOOKUP(A49,'[1]SQL DATA'!$B:$J,9,FALSE)</f>
        <v>627.17999999999995</v>
      </c>
      <c r="E49" s="16">
        <f>VLOOKUP(A49,'[1]SQL DATA'!$B:$J,7,FALSE)</f>
        <v>7909.96</v>
      </c>
      <c r="F49" s="15">
        <f>VLOOKUP(A49,'[1]SQL DATA'!$B:$J,6,FALSE)</f>
        <v>4659.6099999999997</v>
      </c>
      <c r="G49" s="79">
        <v>7870</v>
      </c>
      <c r="H49" s="79">
        <v>8000</v>
      </c>
    </row>
    <row r="50" spans="1:8" x14ac:dyDescent="0.2">
      <c r="A50" s="45" t="s">
        <v>295</v>
      </c>
      <c r="B50" s="1" t="str">
        <f>VLOOKUP(A50,'[1]SQL DATA'!$B:$J,3,FALSE)</f>
        <v>R&amp;C - Bldg Mat/Supply - Parks/CG/SG</v>
      </c>
      <c r="C50" s="20">
        <f>VLOOKUP(A50,'[1]SQL DATA'!$B:$K,10,FALSE)</f>
        <v>1019.35</v>
      </c>
      <c r="D50" s="20">
        <f>VLOOKUP(A50,'[1]SQL DATA'!$B:$J,9,FALSE)</f>
        <v>321.3</v>
      </c>
      <c r="E50" s="16">
        <f>VLOOKUP(A50,'[1]SQL DATA'!$B:$J,7,FALSE)</f>
        <v>39.99</v>
      </c>
      <c r="F50" s="15">
        <f>VLOOKUP(A50,'[1]SQL DATA'!$B:$J,6,FALSE)</f>
        <v>3591.51</v>
      </c>
      <c r="G50" s="79">
        <v>1170</v>
      </c>
      <c r="H50" s="79">
        <f>1170</f>
        <v>1170</v>
      </c>
    </row>
    <row r="51" spans="1:8" x14ac:dyDescent="0.2">
      <c r="A51" s="9" t="s">
        <v>85</v>
      </c>
      <c r="B51" s="151"/>
      <c r="C51" s="30">
        <f t="shared" ref="C51:H51" si="6">SUM(C44:C50)</f>
        <v>15435.39</v>
      </c>
      <c r="D51" s="30">
        <f t="shared" si="6"/>
        <v>8560.0499999999993</v>
      </c>
      <c r="E51" s="19">
        <f t="shared" si="6"/>
        <v>48989.95</v>
      </c>
      <c r="F51" s="18">
        <f t="shared" si="6"/>
        <v>21782.010000000002</v>
      </c>
      <c r="G51" s="30">
        <f t="shared" si="6"/>
        <v>36310</v>
      </c>
      <c r="H51" s="30">
        <f t="shared" si="6"/>
        <v>40240</v>
      </c>
    </row>
    <row r="52" spans="1:8" x14ac:dyDescent="0.2">
      <c r="A52" s="9"/>
      <c r="B52" s="155"/>
      <c r="C52" s="155"/>
      <c r="D52" s="79"/>
      <c r="E52" s="89"/>
      <c r="F52" s="88"/>
      <c r="G52" s="79"/>
      <c r="H52" s="79"/>
    </row>
    <row r="53" spans="1:8" x14ac:dyDescent="0.2">
      <c r="A53" s="45" t="s">
        <v>296</v>
      </c>
      <c r="B53" s="1" t="str">
        <f>VLOOKUP(A53,'[1]SQL DATA'!$B:$J,3,FALSE)</f>
        <v>R&amp;C - Purchase of Cap Assets - Parks</v>
      </c>
      <c r="C53" s="20">
        <f>VLOOKUP(A53,'[1]SQL DATA'!$B:$K,10,FALSE)</f>
        <v>0</v>
      </c>
      <c r="D53" s="20">
        <f>VLOOKUP(A53,'[1]SQL DATA'!$B:$J,9,FALSE)</f>
        <v>0</v>
      </c>
      <c r="E53" s="16">
        <f>VLOOKUP(A53,'[1]SQL DATA'!$B:$J,7,FALSE)</f>
        <v>0</v>
      </c>
      <c r="F53" s="15">
        <f>VLOOKUP(A53,'[1]SQL DATA'!$B:$J,6,FALSE)</f>
        <v>0</v>
      </c>
      <c r="G53" s="79">
        <v>0</v>
      </c>
      <c r="H53" s="79">
        <v>0</v>
      </c>
    </row>
    <row r="54" spans="1:8" x14ac:dyDescent="0.2">
      <c r="A54" s="63" t="s">
        <v>297</v>
      </c>
      <c r="B54" s="64" t="str">
        <f>VLOOKUP(A54,'[1]SQL DATA'!$B:$J,3,FALSE)</f>
        <v>Transfer to Reserves - Parks, CG &amp; SG</v>
      </c>
      <c r="C54" s="65">
        <f>VLOOKUP(A54,'[1]SQL DATA'!$B:$K,10,FALSE)</f>
        <v>0</v>
      </c>
      <c r="D54" s="65">
        <f>VLOOKUP(A54,'[1]SQL DATA'!$B:$J,9,FALSE)</f>
        <v>6181.27</v>
      </c>
      <c r="E54" s="65">
        <f>VLOOKUP(A54,'[1]SQL DATA'!$B:$J,7,FALSE)</f>
        <v>0</v>
      </c>
      <c r="F54" s="65">
        <f>VLOOKUP(A54,'[1]SQL DATA'!$B:$J,6,FALSE)</f>
        <v>0</v>
      </c>
      <c r="G54" s="171">
        <v>0</v>
      </c>
      <c r="H54" s="171">
        <v>10000</v>
      </c>
    </row>
    <row r="55" spans="1:8" x14ac:dyDescent="0.2">
      <c r="A55" s="34" t="s">
        <v>21</v>
      </c>
      <c r="B55" s="151"/>
      <c r="C55" s="30">
        <f t="shared" ref="C55:H55" si="7">C29+C33+C40+C51++C53+C54</f>
        <v>54738.22</v>
      </c>
      <c r="D55" s="30">
        <f t="shared" si="7"/>
        <v>85584.35</v>
      </c>
      <c r="E55" s="19">
        <f t="shared" si="7"/>
        <v>137013.07999999999</v>
      </c>
      <c r="F55" s="18">
        <f t="shared" si="7"/>
        <v>80642.12</v>
      </c>
      <c r="G55" s="30">
        <f t="shared" si="7"/>
        <v>116720</v>
      </c>
      <c r="H55" s="30">
        <f t="shared" si="7"/>
        <v>92120</v>
      </c>
    </row>
    <row r="56" spans="1:8" x14ac:dyDescent="0.2">
      <c r="A56" s="34"/>
      <c r="B56" s="151"/>
      <c r="C56" s="66"/>
      <c r="D56" s="66"/>
      <c r="E56" s="68"/>
      <c r="F56" s="67"/>
      <c r="G56" s="152"/>
      <c r="H56" s="152"/>
    </row>
    <row r="57" spans="1:8" ht="13.5" thickBot="1" x14ac:dyDescent="0.25">
      <c r="A57" s="34" t="s">
        <v>22</v>
      </c>
      <c r="B57" s="151"/>
      <c r="C57" s="69">
        <f>(C19)-C55</f>
        <v>-53038.22</v>
      </c>
      <c r="D57" s="69">
        <f>(D19)-D55</f>
        <v>-74328.08</v>
      </c>
      <c r="E57" s="70">
        <f t="shared" ref="E57:H57" si="8">(E19)-E55</f>
        <v>-106872.43</v>
      </c>
      <c r="F57" s="69">
        <f t="shared" si="8"/>
        <v>-57915.72</v>
      </c>
      <c r="G57" s="69">
        <f t="shared" si="8"/>
        <v>-85520</v>
      </c>
      <c r="H57" s="69">
        <f t="shared" si="8"/>
        <v>-66070</v>
      </c>
    </row>
    <row r="58" spans="1:8" ht="13.5" thickTop="1" x14ac:dyDescent="0.2">
      <c r="D58" s="79"/>
      <c r="E58" s="79"/>
      <c r="F58" s="88"/>
      <c r="G58" s="79"/>
      <c r="H58" s="79"/>
    </row>
  </sheetData>
  <pageMargins left="0.74803149606299213" right="0.74803149606299213" top="0.39370078740157483" bottom="0.39370078740157483" header="3.937007874015748E-2" footer="3.937007874015748E-2"/>
  <pageSetup pageOrder="overThenDown" orientation="portrait" r:id="rId1"/>
  <headerFooter>
    <oddHeader xml:space="preserve">&amp;C&amp;"Calibri,Bold"&amp;10TOWN OF SHELLBROOK&amp;"Calibri,Regular"
Parks, Campground, etc
</oddHeader>
    <oddFooter>&amp;L&amp;P of &amp;N &amp;C&amp;R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5E38A-00D9-4B18-A31B-E1DD8FEC25BF}">
  <dimension ref="A1:H37"/>
  <sheetViews>
    <sheetView topLeftCell="A4" zoomScale="150" zoomScaleNormal="150" zoomScalePageLayoutView="90" workbookViewId="0">
      <selection activeCell="G9" sqref="G9"/>
    </sheetView>
  </sheetViews>
  <sheetFormatPr defaultColWidth="8.85546875" defaultRowHeight="12.75" x14ac:dyDescent="0.2"/>
  <cols>
    <col min="1" max="1" width="12.7109375" style="1" customWidth="1"/>
    <col min="2" max="2" width="27.7109375" style="1" customWidth="1"/>
    <col min="3" max="3" width="7.5703125" style="1" bestFit="1" customWidth="1"/>
    <col min="4" max="4" width="8.140625" style="1" bestFit="1" customWidth="1"/>
    <col min="5" max="6" width="6.5703125" style="1" bestFit="1" customWidth="1"/>
    <col min="7" max="7" width="7.5703125" style="1" bestFit="1" customWidth="1"/>
    <col min="8" max="8" width="8.140625" style="1" bestFit="1" customWidth="1"/>
    <col min="9" max="16384" width="8.85546875" style="1"/>
  </cols>
  <sheetData>
    <row r="1" spans="1:8" x14ac:dyDescent="0.2">
      <c r="B1" s="71"/>
      <c r="C1" s="2">
        <v>2019</v>
      </c>
      <c r="D1" s="2">
        <v>2020</v>
      </c>
      <c r="E1" s="3">
        <v>2021</v>
      </c>
      <c r="F1" s="2">
        <v>2022</v>
      </c>
      <c r="G1" s="2">
        <v>2021</v>
      </c>
      <c r="H1" s="2">
        <v>2022</v>
      </c>
    </row>
    <row r="2" spans="1:8" x14ac:dyDescent="0.2">
      <c r="B2" s="2"/>
      <c r="C2" s="4" t="s">
        <v>0</v>
      </c>
      <c r="D2" s="5" t="s">
        <v>0</v>
      </c>
      <c r="E2" s="6" t="s">
        <v>0</v>
      </c>
      <c r="F2" s="5" t="s">
        <v>0</v>
      </c>
      <c r="G2" s="5" t="s">
        <v>1</v>
      </c>
      <c r="H2" s="5" t="s">
        <v>1</v>
      </c>
    </row>
    <row r="3" spans="1:8" x14ac:dyDescent="0.2">
      <c r="A3" s="7" t="s">
        <v>2</v>
      </c>
      <c r="E3" s="8"/>
    </row>
    <row r="4" spans="1:8" x14ac:dyDescent="0.2">
      <c r="A4" s="45" t="s">
        <v>28</v>
      </c>
      <c r="E4" s="8"/>
    </row>
    <row r="5" spans="1:8" x14ac:dyDescent="0.2">
      <c r="A5" s="45" t="s">
        <v>298</v>
      </c>
      <c r="B5" s="1" t="str">
        <f>VLOOKUP(A5,'[1]SQL DATA'!$B:$J,3,FALSE)</f>
        <v>F&amp;C - Rec Fees - Playground Prog Fees</v>
      </c>
      <c r="C5" s="20">
        <f>VLOOKUP(A5,'[1]SQL DATA'!$B:$K,10,FALSE)</f>
        <v>1255.2</v>
      </c>
      <c r="D5" s="20">
        <f>VLOOKUP(A5,'[1]SQL DATA'!$B:$J,9,FALSE)</f>
        <v>1760</v>
      </c>
      <c r="E5" s="16">
        <f>VLOOKUP(A5,'[1]SQL DATA'!$B:$J,7,FALSE)</f>
        <v>3139.05</v>
      </c>
      <c r="F5" s="15">
        <f>VLOOKUP(A5,'[1]SQL DATA'!$B:$J,6,FALSE)</f>
        <v>5340</v>
      </c>
      <c r="G5" s="79">
        <v>1760</v>
      </c>
      <c r="H5" s="88">
        <v>4000</v>
      </c>
    </row>
    <row r="6" spans="1:8" x14ac:dyDescent="0.2">
      <c r="A6" s="9" t="s">
        <v>42</v>
      </c>
      <c r="B6" s="72"/>
      <c r="C6" s="66">
        <f t="shared" ref="C6:H6" si="0">SUM(C5)</f>
        <v>1255.2</v>
      </c>
      <c r="D6" s="66">
        <f t="shared" si="0"/>
        <v>1760</v>
      </c>
      <c r="E6" s="68">
        <f t="shared" si="0"/>
        <v>3139.05</v>
      </c>
      <c r="F6" s="67">
        <f t="shared" si="0"/>
        <v>5340</v>
      </c>
      <c r="G6" s="66">
        <f t="shared" si="0"/>
        <v>1760</v>
      </c>
      <c r="H6" s="67">
        <f t="shared" si="0"/>
        <v>4000</v>
      </c>
    </row>
    <row r="7" spans="1:8" x14ac:dyDescent="0.2">
      <c r="D7" s="73"/>
      <c r="E7" s="50"/>
      <c r="F7" s="49"/>
      <c r="G7" s="73"/>
      <c r="H7" s="49"/>
    </row>
    <row r="8" spans="1:8" x14ac:dyDescent="0.2">
      <c r="A8" s="45" t="s">
        <v>43</v>
      </c>
      <c r="D8" s="73"/>
      <c r="E8" s="50"/>
      <c r="F8" s="49"/>
      <c r="G8" s="73"/>
      <c r="H8" s="49"/>
    </row>
    <row r="9" spans="1:8" x14ac:dyDescent="0.2">
      <c r="A9" s="45" t="s">
        <v>299</v>
      </c>
      <c r="B9" s="1" t="str">
        <f>VLOOKUP(A9,'[1]SQL DATA'!$B:$J,3,FALSE)</f>
        <v>Unconditional Local Grants - PG Program</v>
      </c>
      <c r="C9" s="20">
        <f>VLOOKUP(A9,'[1]SQL DATA'!$B:$K,10,FALSE)</f>
        <v>825.18</v>
      </c>
      <c r="D9" s="20">
        <f>VLOOKUP(A9,'[1]SQL DATA'!$B:$J,9,FALSE)</f>
        <v>825.18</v>
      </c>
      <c r="E9" s="16">
        <f>VLOOKUP(A9,'[1]SQL DATA'!$B:$J,7,FALSE)</f>
        <v>1097.44</v>
      </c>
      <c r="F9" s="15">
        <f>VLOOKUP(A9,'[1]SQL DATA'!$B:$J,6,FALSE)</f>
        <v>0</v>
      </c>
      <c r="G9" s="79">
        <v>800</v>
      </c>
      <c r="H9" s="88">
        <v>500</v>
      </c>
    </row>
    <row r="10" spans="1:8" x14ac:dyDescent="0.2">
      <c r="A10" s="45" t="s">
        <v>300</v>
      </c>
      <c r="B10" s="1" t="str">
        <f>VLOOKUP(A10,'[1]SQL DATA'!$B:$J,3,FALSE)</f>
        <v>Conditional - Federal - Student Emp</v>
      </c>
      <c r="C10" s="20">
        <f>VLOOKUP(A10,'[1]SQL DATA'!$B:$K,10,FALSE)</f>
        <v>0</v>
      </c>
      <c r="D10" s="20">
        <f>VLOOKUP(A10,'[1]SQL DATA'!$B:$J,9,FALSE)</f>
        <v>0</v>
      </c>
      <c r="E10" s="16">
        <f>VLOOKUP(A10,'[1]SQL DATA'!$B:$J,7,FALSE)</f>
        <v>0</v>
      </c>
      <c r="F10" s="15">
        <f>VLOOKUP(A10,'[1]SQL DATA'!$B:$J,6,FALSE)</f>
        <v>0</v>
      </c>
      <c r="G10" s="79">
        <v>0</v>
      </c>
      <c r="H10" s="88">
        <v>0</v>
      </c>
    </row>
    <row r="11" spans="1:8" x14ac:dyDescent="0.2">
      <c r="A11" s="45" t="s">
        <v>301</v>
      </c>
      <c r="B11" s="1" t="str">
        <f>VLOOKUP(A11,'[1]SQL DATA'!$B:$J,3,FALSE)</f>
        <v>Conditional - Prov - CIF</v>
      </c>
      <c r="C11" s="20">
        <f>VLOOKUP(A11,'[1]SQL DATA'!$B:$K,10,FALSE)</f>
        <v>4000</v>
      </c>
      <c r="D11" s="20">
        <f>VLOOKUP(A11,'[1]SQL DATA'!$B:$J,9,FALSE)</f>
        <v>6000</v>
      </c>
      <c r="E11" s="16">
        <f>VLOOKUP(A11,'[1]SQL DATA'!$B:$J,7,FALSE)</f>
        <v>5000</v>
      </c>
      <c r="F11" s="15">
        <f>VLOOKUP(A11,'[1]SQL DATA'!$B:$J,6,FALSE)</f>
        <v>3200</v>
      </c>
      <c r="G11" s="79">
        <v>5000</v>
      </c>
      <c r="H11" s="88">
        <v>4000</v>
      </c>
    </row>
    <row r="12" spans="1:8" x14ac:dyDescent="0.2">
      <c r="A12" s="45" t="s">
        <v>302</v>
      </c>
      <c r="B12" s="1" t="str">
        <f>VLOOKUP(A12,'[1]SQL DATA'!$B:$J,3,FALSE)</f>
        <v>Conditional - Provincial - Student Emp</v>
      </c>
      <c r="C12" s="20">
        <f>VLOOKUP(A12,'[1]SQL DATA'!$B:$K,10,FALSE)</f>
        <v>0</v>
      </c>
      <c r="D12" s="20">
        <f>VLOOKUP(A12,'[1]SQL DATA'!$B:$J,9,FALSE)</f>
        <v>0</v>
      </c>
      <c r="E12" s="16">
        <f>VLOOKUP(A12,'[1]SQL DATA'!$B:$J,7,FALSE)</f>
        <v>0</v>
      </c>
      <c r="F12" s="15">
        <f>VLOOKUP(A12,'[1]SQL DATA'!$B:$J,6,FALSE)</f>
        <v>0</v>
      </c>
      <c r="G12" s="79">
        <v>0</v>
      </c>
      <c r="H12" s="88">
        <v>0</v>
      </c>
    </row>
    <row r="13" spans="1:8" x14ac:dyDescent="0.2">
      <c r="A13" s="9" t="s">
        <v>50</v>
      </c>
      <c r="B13" s="72"/>
      <c r="C13" s="66">
        <f t="shared" ref="C13:H13" si="1">SUM(C9:C12)</f>
        <v>4825.18</v>
      </c>
      <c r="D13" s="66">
        <f t="shared" si="1"/>
        <v>6825.18</v>
      </c>
      <c r="E13" s="68">
        <f t="shared" si="1"/>
        <v>6097.4400000000005</v>
      </c>
      <c r="F13" s="67">
        <f t="shared" si="1"/>
        <v>3200</v>
      </c>
      <c r="G13" s="66">
        <f t="shared" si="1"/>
        <v>5800</v>
      </c>
      <c r="H13" s="67">
        <f t="shared" si="1"/>
        <v>4500</v>
      </c>
    </row>
    <row r="14" spans="1:8" x14ac:dyDescent="0.2">
      <c r="B14" s="82"/>
      <c r="C14" s="20"/>
      <c r="D14" s="20"/>
      <c r="E14" s="16"/>
      <c r="F14" s="15"/>
      <c r="G14" s="20"/>
      <c r="H14" s="15"/>
    </row>
    <row r="15" spans="1:8" x14ac:dyDescent="0.2">
      <c r="A15" s="51" t="s">
        <v>7</v>
      </c>
      <c r="B15" s="72"/>
      <c r="C15" s="30">
        <f t="shared" ref="C15:H15" si="2">C6+C13</f>
        <v>6080.38</v>
      </c>
      <c r="D15" s="30">
        <f t="shared" si="2"/>
        <v>8585.18</v>
      </c>
      <c r="E15" s="19">
        <f t="shared" si="2"/>
        <v>9236.4900000000016</v>
      </c>
      <c r="F15" s="18">
        <f t="shared" si="2"/>
        <v>8540</v>
      </c>
      <c r="G15" s="30">
        <f t="shared" si="2"/>
        <v>7560</v>
      </c>
      <c r="H15" s="18">
        <f t="shared" si="2"/>
        <v>8500</v>
      </c>
    </row>
    <row r="16" spans="1:8" x14ac:dyDescent="0.2">
      <c r="A16" s="1" t="s">
        <v>8</v>
      </c>
      <c r="B16" s="14"/>
      <c r="C16" s="14"/>
      <c r="D16" s="73"/>
      <c r="E16" s="50"/>
      <c r="F16" s="49"/>
      <c r="G16" s="73"/>
      <c r="H16" s="49"/>
    </row>
    <row r="17" spans="1:8" x14ac:dyDescent="0.2">
      <c r="A17" s="7" t="s">
        <v>9</v>
      </c>
      <c r="D17" s="73"/>
      <c r="E17" s="50"/>
      <c r="F17" s="49"/>
      <c r="G17" s="73"/>
      <c r="H17" s="49"/>
    </row>
    <row r="18" spans="1:8" x14ac:dyDescent="0.2">
      <c r="A18" s="45" t="s">
        <v>51</v>
      </c>
      <c r="D18" s="73"/>
      <c r="E18" s="50"/>
      <c r="F18" s="49"/>
      <c r="G18" s="73"/>
      <c r="H18" s="49"/>
    </row>
    <row r="19" spans="1:8" x14ac:dyDescent="0.2">
      <c r="A19" s="45" t="s">
        <v>303</v>
      </c>
      <c r="B19" s="1" t="str">
        <f>VLOOKUP(A19,'[1]SQL DATA'!$B:$J,3,FALSE)</f>
        <v>R&amp;C - Salaries - Playground Program</v>
      </c>
      <c r="C19" s="20">
        <f>VLOOKUP(A19,'[1]SQL DATA'!$B:$K,10,FALSE)</f>
        <v>7584.99</v>
      </c>
      <c r="D19" s="20">
        <f>VLOOKUP(A19,'[1]SQL DATA'!$B:$J,9,FALSE)</f>
        <v>6237.12</v>
      </c>
      <c r="E19" s="16">
        <f>VLOOKUP(A19,'[1]SQL DATA'!$B:$J,7,FALSE)</f>
        <v>7772.54</v>
      </c>
      <c r="F19" s="15">
        <f>VLOOKUP(A19,'[1]SQL DATA'!$B:$J,6,FALSE)</f>
        <v>4784.3100000000004</v>
      </c>
      <c r="G19" s="79">
        <v>6240</v>
      </c>
      <c r="H19" s="88">
        <v>11520</v>
      </c>
    </row>
    <row r="20" spans="1:8" x14ac:dyDescent="0.2">
      <c r="A20" s="45" t="s">
        <v>304</v>
      </c>
      <c r="B20" s="1" t="str">
        <f>VLOOKUP(A20,'[1]SQL DATA'!$B:$J,3,FALSE)</f>
        <v>R&amp;C - Benefits - Playground Program</v>
      </c>
      <c r="C20" s="20">
        <f>VLOOKUP(A20,'[1]SQL DATA'!$B:$K,10,FALSE)</f>
        <v>592.63</v>
      </c>
      <c r="D20" s="20">
        <f>VLOOKUP(A20,'[1]SQL DATA'!$B:$J,9,FALSE)</f>
        <v>528.30999999999995</v>
      </c>
      <c r="E20" s="16">
        <f>VLOOKUP(A20,'[1]SQL DATA'!$B:$J,7,FALSE)</f>
        <v>667.65</v>
      </c>
      <c r="F20" s="15">
        <f>VLOOKUP(A20,'[1]SQL DATA'!$B:$J,6,FALSE)</f>
        <v>431.74</v>
      </c>
      <c r="G20" s="79">
        <v>530</v>
      </c>
      <c r="H20" s="88">
        <v>800</v>
      </c>
    </row>
    <row r="21" spans="1:8" x14ac:dyDescent="0.2">
      <c r="A21" s="9" t="s">
        <v>58</v>
      </c>
      <c r="B21" s="72"/>
      <c r="C21" s="30">
        <f>SUM(C19:C20)</f>
        <v>8177.62</v>
      </c>
      <c r="D21" s="30">
        <f>SUM(D19:D20)</f>
        <v>6765.43</v>
      </c>
      <c r="E21" s="19">
        <f>SUM(E19:E20)</f>
        <v>8440.19</v>
      </c>
      <c r="F21" s="18">
        <f>SUM(F19:F20)</f>
        <v>5216.05</v>
      </c>
      <c r="G21" s="30">
        <f t="shared" ref="G21:H21" si="3">SUM(G19:G20)</f>
        <v>6770</v>
      </c>
      <c r="H21" s="30">
        <f t="shared" si="3"/>
        <v>12320</v>
      </c>
    </row>
    <row r="22" spans="1:8" x14ac:dyDescent="0.2">
      <c r="A22" s="1" t="s">
        <v>8</v>
      </c>
      <c r="D22" s="73"/>
      <c r="E22" s="50"/>
      <c r="F22" s="49"/>
      <c r="G22" s="73"/>
      <c r="H22" s="73"/>
    </row>
    <row r="23" spans="1:8" x14ac:dyDescent="0.2">
      <c r="A23" s="45" t="s">
        <v>111</v>
      </c>
      <c r="D23" s="73"/>
      <c r="E23" s="50"/>
      <c r="F23" s="49"/>
      <c r="G23" s="73"/>
      <c r="H23" s="73"/>
    </row>
    <row r="24" spans="1:8" x14ac:dyDescent="0.2">
      <c r="A24" s="45" t="s">
        <v>305</v>
      </c>
      <c r="B24" s="1" t="str">
        <f>VLOOKUP(A24,'[1]SQL DATA'!$B:$J,3,FALSE)</f>
        <v>R&amp;C - Program Supplies - Playground Prog</v>
      </c>
      <c r="C24" s="20">
        <f>VLOOKUP(A24,'[1]SQL DATA'!$B:$K,10,FALSE)</f>
        <v>3013.77</v>
      </c>
      <c r="D24" s="20">
        <f>VLOOKUP(A24,'[1]SQL DATA'!$B:$J,9,FALSE)</f>
        <v>3366.71</v>
      </c>
      <c r="E24" s="16">
        <f>VLOOKUP(A24,'[1]SQL DATA'!$B:$J,7,FALSE)</f>
        <v>842.07</v>
      </c>
      <c r="F24" s="15">
        <f>VLOOKUP(A24,'[1]SQL DATA'!$B:$J,6,FALSE)</f>
        <v>282.63</v>
      </c>
      <c r="G24" s="79">
        <v>3400</v>
      </c>
      <c r="H24" s="88">
        <v>3400</v>
      </c>
    </row>
    <row r="25" spans="1:8" x14ac:dyDescent="0.2">
      <c r="A25" s="9" t="s">
        <v>85</v>
      </c>
      <c r="B25" s="72"/>
      <c r="C25" s="30">
        <f>SUM(C24)</f>
        <v>3013.77</v>
      </c>
      <c r="D25" s="30">
        <f>SUM(D24)</f>
        <v>3366.71</v>
      </c>
      <c r="E25" s="19">
        <f>SUM(E24)</f>
        <v>842.07</v>
      </c>
      <c r="F25" s="18">
        <f>SUM(F24)</f>
        <v>282.63</v>
      </c>
      <c r="G25" s="30">
        <f t="shared" ref="G25:H25" si="4">SUM(G24)</f>
        <v>3400</v>
      </c>
      <c r="H25" s="30">
        <f t="shared" si="4"/>
        <v>3400</v>
      </c>
    </row>
    <row r="26" spans="1:8" x14ac:dyDescent="0.2">
      <c r="A26" s="9"/>
      <c r="B26" s="82"/>
      <c r="C26" s="20"/>
      <c r="D26" s="20"/>
      <c r="E26" s="16"/>
      <c r="F26" s="15"/>
      <c r="G26" s="73"/>
      <c r="H26" s="73"/>
    </row>
    <row r="27" spans="1:8" x14ac:dyDescent="0.2">
      <c r="A27" s="34" t="s">
        <v>21</v>
      </c>
      <c r="B27" s="72"/>
      <c r="C27" s="30">
        <f>C21+C25</f>
        <v>11191.39</v>
      </c>
      <c r="D27" s="30">
        <f>D21+D25</f>
        <v>10132.14</v>
      </c>
      <c r="E27" s="19">
        <f>E21+E25</f>
        <v>9282.26</v>
      </c>
      <c r="F27" s="18">
        <f>F21+F25</f>
        <v>5498.68</v>
      </c>
      <c r="G27" s="30">
        <f t="shared" ref="G27:H27" si="5">G21+G25</f>
        <v>10170</v>
      </c>
      <c r="H27" s="30">
        <f t="shared" si="5"/>
        <v>15720</v>
      </c>
    </row>
    <row r="28" spans="1:8" x14ac:dyDescent="0.2">
      <c r="A28" s="34" t="s">
        <v>8</v>
      </c>
      <c r="C28" s="20"/>
      <c r="D28" s="20"/>
      <c r="E28" s="16"/>
      <c r="F28" s="15"/>
      <c r="G28" s="73"/>
      <c r="H28" s="73"/>
    </row>
    <row r="29" spans="1:8" ht="13.5" thickBot="1" x14ac:dyDescent="0.25">
      <c r="A29" s="34" t="s">
        <v>22</v>
      </c>
      <c r="B29" s="72"/>
      <c r="C29" s="69">
        <f>(C15)-C27</f>
        <v>-5111.0099999999993</v>
      </c>
      <c r="D29" s="69">
        <f>(D15)-D27</f>
        <v>-1546.9599999999991</v>
      </c>
      <c r="E29" s="70">
        <f t="shared" ref="E29:H29" si="6">(E15)-E27</f>
        <v>-45.769999999998618</v>
      </c>
      <c r="F29" s="69">
        <f t="shared" si="6"/>
        <v>3041.3199999999997</v>
      </c>
      <c r="G29" s="69">
        <f t="shared" si="6"/>
        <v>-2610</v>
      </c>
      <c r="H29" s="69">
        <f t="shared" si="6"/>
        <v>-7220</v>
      </c>
    </row>
    <row r="30" spans="1:8" ht="13.5" thickTop="1" x14ac:dyDescent="0.2">
      <c r="A30" s="1" t="s">
        <v>8</v>
      </c>
    </row>
    <row r="31" spans="1:8" x14ac:dyDescent="0.2">
      <c r="A31" s="1" t="s">
        <v>8</v>
      </c>
    </row>
    <row r="32" spans="1:8" x14ac:dyDescent="0.2">
      <c r="A32" s="1" t="s">
        <v>8</v>
      </c>
    </row>
    <row r="33" spans="1:1" x14ac:dyDescent="0.2">
      <c r="A33" s="1" t="s">
        <v>8</v>
      </c>
    </row>
    <row r="34" spans="1:1" x14ac:dyDescent="0.2">
      <c r="A34" s="1" t="s">
        <v>8</v>
      </c>
    </row>
    <row r="35" spans="1:1" x14ac:dyDescent="0.2">
      <c r="A35" s="1" t="s">
        <v>8</v>
      </c>
    </row>
    <row r="36" spans="1:1" x14ac:dyDescent="0.2">
      <c r="A36" s="1" t="s">
        <v>8</v>
      </c>
    </row>
    <row r="37" spans="1:1" x14ac:dyDescent="0.2">
      <c r="A37" s="1" t="s">
        <v>8</v>
      </c>
    </row>
  </sheetData>
  <pageMargins left="0.74803149606299213" right="0.74803149606299213" top="0.74803149606299213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Playground Program
</oddHeader>
    <oddFooter>&amp;L&amp;P of &amp;N &amp;C&amp;R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11302-5730-48A5-B825-34809C15CDF6}">
  <sheetPr>
    <tabColor theme="9" tint="-0.249977111117893"/>
  </sheetPr>
  <dimension ref="A1:K36"/>
  <sheetViews>
    <sheetView view="pageBreakPreview" topLeftCell="A16" zoomScale="150" zoomScaleNormal="90" zoomScaleSheetLayoutView="150" zoomScalePageLayoutView="175" workbookViewId="0">
      <selection activeCell="G9" sqref="G9"/>
    </sheetView>
  </sheetViews>
  <sheetFormatPr defaultRowHeight="12.75" x14ac:dyDescent="0.2"/>
  <cols>
    <col min="1" max="1" width="23.5703125" style="1" customWidth="1"/>
    <col min="2" max="4" width="9.140625" style="1" bestFit="1" customWidth="1"/>
    <col min="5" max="5" width="8.140625" style="1" bestFit="1" customWidth="1"/>
    <col min="6" max="6" width="8.5703125" style="1" bestFit="1" customWidth="1"/>
    <col min="7" max="7" width="14.5703125" style="1" customWidth="1"/>
    <col min="8" max="8" width="14.5703125" style="1" bestFit="1" customWidth="1"/>
    <col min="9" max="10" width="9.140625" style="1"/>
    <col min="11" max="11" width="13.85546875" style="24" bestFit="1" customWidth="1"/>
    <col min="12" max="12" width="14.5703125" style="1" bestFit="1" customWidth="1"/>
    <col min="13" max="16384" width="9.140625" style="1"/>
  </cols>
  <sheetData>
    <row r="1" spans="1:8" x14ac:dyDescent="0.2">
      <c r="B1" s="2">
        <v>2019</v>
      </c>
      <c r="C1" s="2">
        <v>2020</v>
      </c>
      <c r="D1" s="3">
        <v>2021</v>
      </c>
      <c r="E1" s="2">
        <v>2022</v>
      </c>
      <c r="F1" s="2">
        <v>2021</v>
      </c>
      <c r="G1" s="2">
        <v>2022</v>
      </c>
    </row>
    <row r="2" spans="1:8" x14ac:dyDescent="0.2">
      <c r="B2" s="4" t="s">
        <v>0</v>
      </c>
      <c r="C2" s="5" t="s">
        <v>0</v>
      </c>
      <c r="D2" s="6" t="s">
        <v>0</v>
      </c>
      <c r="E2" s="5" t="s">
        <v>0</v>
      </c>
      <c r="F2" s="5" t="s">
        <v>1</v>
      </c>
      <c r="G2" s="5" t="s">
        <v>1</v>
      </c>
    </row>
    <row r="3" spans="1:8" x14ac:dyDescent="0.2">
      <c r="A3" s="7" t="s">
        <v>2</v>
      </c>
      <c r="B3" s="7"/>
      <c r="C3" s="7"/>
      <c r="D3" s="8"/>
    </row>
    <row r="4" spans="1:8" x14ac:dyDescent="0.2">
      <c r="A4" s="9" t="s">
        <v>3</v>
      </c>
      <c r="B4" s="10">
        <f>SUM('Community Hall'!C6+Museum!C5+Cemetery!C6)</f>
        <v>27669.53</v>
      </c>
      <c r="C4" s="10">
        <f>SUM('Community Hall'!D6+Museum!D5+Cemetery!D6)</f>
        <v>31175</v>
      </c>
      <c r="D4" s="12">
        <f>SUM('Community Hall'!E6+Museum!E5+Cemetery!E6)</f>
        <v>17281.55</v>
      </c>
      <c r="E4" s="10">
        <f>SUM('Community Hall'!F6+Museum!F5+Cemetery!F6)</f>
        <v>11677.5</v>
      </c>
      <c r="F4" s="10">
        <f>SUM('Community Hall'!G6+Museum!G5+Cemetery!G6)</f>
        <v>18500</v>
      </c>
      <c r="G4" s="10">
        <f>SUM(Museum!H5+Cemetery!H6)</f>
        <v>0</v>
      </c>
    </row>
    <row r="5" spans="1:8" ht="15" x14ac:dyDescent="0.2">
      <c r="A5" s="9" t="s">
        <v>4</v>
      </c>
      <c r="B5" s="11">
        <f>SUM('Community Hall'!C6+Theatre!C6+Museum!C10+'Other Rec Services'!C6+Cemetery!C14)</f>
        <v>29529.53</v>
      </c>
      <c r="C5" s="11">
        <f>SUM('Community Hall'!D6+Theatre!D6+Museum!D10+'Other Rec Services'!D6+Cemetery!D14)</f>
        <v>21325</v>
      </c>
      <c r="D5" s="13">
        <f>SUM('Community Hall'!E6+Theatre!E6+Museum!E10+'Other Rec Services'!E6+Cemetery!E14)</f>
        <v>33970.17</v>
      </c>
      <c r="E5" s="11">
        <f>SUM('Community Hall'!F6+Theatre!F6+Museum!F10+'Other Rec Services'!F6+Cemetery!F14)</f>
        <v>18547.7</v>
      </c>
      <c r="F5" s="11">
        <f>SUM('Community Hall'!G6+Theatre!G6+Museum!G10+'Other Rec Services'!G6+Cemetery!G14)</f>
        <v>26340</v>
      </c>
      <c r="G5" s="11">
        <f>SUM('Community Hall'!H6+Theatre!H6+Museum!H10+'Other Rec Services'!H6+Cemetery!H14)</f>
        <v>28310</v>
      </c>
      <c r="H5" s="14"/>
    </row>
    <row r="6" spans="1:8" ht="15" x14ac:dyDescent="0.2">
      <c r="A6" s="9" t="s">
        <v>6</v>
      </c>
      <c r="B6" s="11">
        <f>SUM('Community Hall'!C7+Theatre!C7+Museum!C11+'Other Rec Services'!C7+Cemetery!C15)</f>
        <v>0</v>
      </c>
      <c r="C6" s="11">
        <f>SUM('Community Hall'!D7+Theatre!D7+Museum!D11+'Other Rec Services'!D7+Cemetery!D15)</f>
        <v>0</v>
      </c>
      <c r="D6" s="13">
        <f>SUM('Community Hall'!E7+Theatre!E7+Museum!E11+'Other Rec Services'!E7+Cemetery!E15)</f>
        <v>0</v>
      </c>
      <c r="E6" s="11">
        <f>SUM('Community Hall'!F7+Theatre!F7+Museum!F11+'Other Rec Services'!F7+Cemetery!F15)</f>
        <v>0</v>
      </c>
      <c r="F6" s="11">
        <f>SUM('Community Hall'!G7+Theatre!G7+Museum!G11+'Other Rec Services'!G7+Cemetery!G15)</f>
        <v>0</v>
      </c>
      <c r="G6" s="11">
        <f>SUM('Community Hall'!H10+'Other Rec Services'!H10)</f>
        <v>0</v>
      </c>
      <c r="H6" s="14"/>
    </row>
    <row r="7" spans="1:8" x14ac:dyDescent="0.2">
      <c r="A7" s="17" t="s">
        <v>7</v>
      </c>
      <c r="B7" s="18">
        <f t="shared" ref="B7:G7" si="0">SUM(B4:B6)</f>
        <v>57199.06</v>
      </c>
      <c r="C7" s="18">
        <f t="shared" si="0"/>
        <v>52500</v>
      </c>
      <c r="D7" s="19">
        <f t="shared" si="0"/>
        <v>51251.72</v>
      </c>
      <c r="E7" s="18">
        <f t="shared" si="0"/>
        <v>30225.200000000001</v>
      </c>
      <c r="F7" s="18">
        <f t="shared" si="0"/>
        <v>44840</v>
      </c>
      <c r="G7" s="18">
        <f t="shared" si="0"/>
        <v>28310</v>
      </c>
      <c r="H7" s="14"/>
    </row>
    <row r="8" spans="1:8" x14ac:dyDescent="0.2">
      <c r="A8" s="1" t="s">
        <v>8</v>
      </c>
      <c r="C8" s="20"/>
      <c r="D8" s="16"/>
      <c r="E8" s="15"/>
      <c r="F8" s="15"/>
      <c r="G8" s="20"/>
      <c r="H8" s="21"/>
    </row>
    <row r="9" spans="1:8" x14ac:dyDescent="0.2">
      <c r="A9" s="7" t="s">
        <v>9</v>
      </c>
      <c r="B9" s="7"/>
      <c r="C9" s="22"/>
      <c r="D9" s="16"/>
      <c r="E9" s="15"/>
      <c r="F9" s="15"/>
      <c r="G9" s="20"/>
    </row>
    <row r="10" spans="1:8" ht="15" x14ac:dyDescent="0.2">
      <c r="A10" s="9" t="s">
        <v>10</v>
      </c>
      <c r="B10" s="11">
        <f>SUM('Community Hall'!C18+Theatre!C14+Museum!C19+'Other Rec Services'!C20+Cemetery!C22)</f>
        <v>12464.44</v>
      </c>
      <c r="C10" s="11">
        <f>SUM('Community Hall'!D18+Theatre!D14+Museum!D19+'Other Rec Services'!D20+Cemetery!D22)</f>
        <v>21430.78</v>
      </c>
      <c r="D10" s="13">
        <f>SUM('Community Hall'!E18+Theatre!E14+Museum!E19+'Other Rec Services'!E20+Cemetery!E22)</f>
        <v>30097.57</v>
      </c>
      <c r="E10" s="11">
        <f>SUM('Community Hall'!F18+Theatre!F14+Museum!F19+'Other Rec Services'!F20+Cemetery!F22)</f>
        <v>15096.5</v>
      </c>
      <c r="F10" s="11">
        <f>SUM('Community Hall'!G18+Theatre!G14+Museum!G19+'Other Rec Services'!G20+Cemetery!G22)</f>
        <v>24520</v>
      </c>
      <c r="G10" s="11">
        <f>SUM('Community Hall'!H18+Theatre!H14+Museum!H19+Cemetery!H22)</f>
        <v>23220</v>
      </c>
      <c r="H10" s="23"/>
    </row>
    <row r="11" spans="1:8" ht="15" x14ac:dyDescent="0.2">
      <c r="A11" s="9" t="s">
        <v>11</v>
      </c>
      <c r="B11" s="11">
        <f>SUM('Community Hall'!C23+Theatre!C19+Cemetery!C26)</f>
        <v>41886.86</v>
      </c>
      <c r="C11" s="11">
        <f>SUM('Community Hall'!D23+Theatre!D19+Cemetery!D26)</f>
        <v>6767.5</v>
      </c>
      <c r="D11" s="13">
        <f>SUM('Community Hall'!E23+Theatre!E19+Cemetery!E26)</f>
        <v>8652.7900000000009</v>
      </c>
      <c r="E11" s="11">
        <f>SUM('Community Hall'!F23+Theatre!F19+Cemetery!F26)</f>
        <v>6248.74</v>
      </c>
      <c r="F11" s="11">
        <f>SUM('Community Hall'!G23+Theatre!G19+Cemetery!G26)</f>
        <v>6000</v>
      </c>
      <c r="G11" s="11">
        <f>SUM('Community Hall'!H23+Theatre!H19+Cemetery!H26)</f>
        <v>10000</v>
      </c>
      <c r="H11" s="14"/>
    </row>
    <row r="12" spans="1:8" ht="15" x14ac:dyDescent="0.2">
      <c r="A12" s="9" t="s">
        <v>12</v>
      </c>
      <c r="B12" s="11">
        <f>SUM('Community Hall'!C29+Theatre!C25+Museum!C24+'Other Rec Services'!C20)</f>
        <v>21647.07</v>
      </c>
      <c r="C12" s="11">
        <f>SUM('Community Hall'!D29+Theatre!D25+Museum!D24+'Other Rec Services'!D20)</f>
        <v>21368.269999999997</v>
      </c>
      <c r="D12" s="13">
        <f>SUM('Community Hall'!E29+Theatre!E25+Museum!E24+'Other Rec Services'!E20)</f>
        <v>21216.58</v>
      </c>
      <c r="E12" s="11">
        <f>SUM('Community Hall'!F29+Theatre!F25+Museum!F24+'Other Rec Services'!F20)</f>
        <v>15824.75</v>
      </c>
      <c r="F12" s="11">
        <f>SUM('Community Hall'!G29+Theatre!G25+Museum!G24+'Other Rec Services'!G20)</f>
        <v>22200</v>
      </c>
      <c r="G12" s="11">
        <f>SUM('Community Hall'!H29+Theatre!H25+Museum!H24+'Other Rec Services'!H20)</f>
        <v>18850</v>
      </c>
    </row>
    <row r="13" spans="1:8" ht="15" x14ac:dyDescent="0.2">
      <c r="A13" s="9" t="s">
        <v>13</v>
      </c>
      <c r="B13" s="11">
        <f>SUM('Community Hall'!C36+Theatre!C32+Museum!C30+'Other Rec Services'!C27)</f>
        <v>51155.07</v>
      </c>
      <c r="C13" s="11">
        <f>SUM('Community Hall'!D36+Theatre!D32+Museum!D30+'Other Rec Services'!D27)</f>
        <v>45187.69</v>
      </c>
      <c r="D13" s="13">
        <f>SUM('Community Hall'!E36+Theatre!E32+Museum!E30+'Other Rec Services'!E27)</f>
        <v>60138.670000000006</v>
      </c>
      <c r="E13" s="11">
        <f>SUM('Community Hall'!F36+Theatre!F32+Museum!F30+'Other Rec Services'!F27)</f>
        <v>38645.120000000003</v>
      </c>
      <c r="F13" s="11">
        <f>SUM('Community Hall'!G36+Theatre!G32+Museum!G30+'Other Rec Services'!G27)</f>
        <v>57630</v>
      </c>
      <c r="G13" s="11">
        <f>SUM('Community Hall'!H36+Theatre!H32+Museum!H30+'Other Rec Services'!H27)</f>
        <v>66120</v>
      </c>
    </row>
    <row r="14" spans="1:8" ht="15" x14ac:dyDescent="0.2">
      <c r="A14" s="9" t="s">
        <v>14</v>
      </c>
      <c r="B14" s="11">
        <f>SUM('Other Rec Services'!C31)</f>
        <v>31696.33</v>
      </c>
      <c r="C14" s="11">
        <f>SUM('Other Rec Services'!D31)</f>
        <v>96238.86</v>
      </c>
      <c r="D14" s="13">
        <f>SUM('Other Rec Services'!E31)</f>
        <v>34269.22</v>
      </c>
      <c r="E14" s="11">
        <f>SUM('Other Rec Services'!F31)</f>
        <v>42596.27</v>
      </c>
      <c r="F14" s="11">
        <f>SUM('Other Rec Services'!G31)</f>
        <v>34000</v>
      </c>
      <c r="G14" s="11">
        <f>SUM('Other Rec Services'!H31)</f>
        <v>42000</v>
      </c>
    </row>
    <row r="15" spans="1:8" ht="15" x14ac:dyDescent="0.2">
      <c r="A15" s="9" t="s">
        <v>15</v>
      </c>
      <c r="B15" s="11">
        <v>0</v>
      </c>
      <c r="C15" s="11">
        <v>0</v>
      </c>
      <c r="D15" s="13">
        <v>0</v>
      </c>
      <c r="E15" s="11">
        <v>0</v>
      </c>
      <c r="F15" s="11">
        <v>0</v>
      </c>
      <c r="G15" s="11">
        <v>0</v>
      </c>
    </row>
    <row r="16" spans="1:8" ht="15" x14ac:dyDescent="0.2">
      <c r="A16" s="9" t="s">
        <v>16</v>
      </c>
      <c r="B16" s="11">
        <v>0</v>
      </c>
      <c r="C16" s="11">
        <v>0</v>
      </c>
      <c r="D16" s="13">
        <v>0</v>
      </c>
      <c r="E16" s="11">
        <v>0</v>
      </c>
      <c r="F16" s="11">
        <v>0</v>
      </c>
      <c r="G16" s="11">
        <v>0</v>
      </c>
    </row>
    <row r="17" spans="1:8" ht="15" x14ac:dyDescent="0.2">
      <c r="A17" s="9" t="s">
        <v>17</v>
      </c>
      <c r="B17" s="11">
        <v>0</v>
      </c>
      <c r="C17" s="11">
        <v>0</v>
      </c>
      <c r="D17" s="13">
        <v>0</v>
      </c>
      <c r="E17" s="11">
        <v>0</v>
      </c>
      <c r="F17" s="11">
        <v>0</v>
      </c>
      <c r="G17" s="11">
        <v>0</v>
      </c>
      <c r="H17" s="14"/>
    </row>
    <row r="18" spans="1:8" x14ac:dyDescent="0.2">
      <c r="A18" s="9" t="s">
        <v>19</v>
      </c>
      <c r="B18" s="25">
        <v>0</v>
      </c>
      <c r="C18" s="25">
        <v>0</v>
      </c>
      <c r="D18" s="26">
        <v>0</v>
      </c>
      <c r="E18" s="25">
        <v>0</v>
      </c>
      <c r="F18" s="25">
        <v>0</v>
      </c>
      <c r="G18" s="25"/>
    </row>
    <row r="19" spans="1:8" x14ac:dyDescent="0.2">
      <c r="A19" s="28" t="s">
        <v>20</v>
      </c>
      <c r="B19" s="29">
        <f>SUM(Cemetery!C28)</f>
        <v>2100</v>
      </c>
      <c r="C19" s="29">
        <f>SUM(Cemetery!D28)</f>
        <v>400</v>
      </c>
      <c r="D19" s="29">
        <f>SUM(Cemetery!E28)</f>
        <v>7175</v>
      </c>
      <c r="E19" s="29">
        <f>SUM(Cemetery!F28)</f>
        <v>0</v>
      </c>
      <c r="F19" s="29">
        <f>SUM(Cemetery!G28)</f>
        <v>0</v>
      </c>
      <c r="G19" s="29">
        <f>SUM(Cemetery!H28)</f>
        <v>0</v>
      </c>
    </row>
    <row r="20" spans="1:8" x14ac:dyDescent="0.2">
      <c r="A20" s="17" t="s">
        <v>21</v>
      </c>
      <c r="B20" s="30">
        <f t="shared" ref="B20:G20" si="1">SUM(B10:B19)</f>
        <v>160949.77000000002</v>
      </c>
      <c r="C20" s="30">
        <f t="shared" si="1"/>
        <v>191393.09999999998</v>
      </c>
      <c r="D20" s="19">
        <f t="shared" si="1"/>
        <v>161549.83000000002</v>
      </c>
      <c r="E20" s="18">
        <f t="shared" si="1"/>
        <v>118411.38</v>
      </c>
      <c r="F20" s="18">
        <f t="shared" si="1"/>
        <v>144350</v>
      </c>
      <c r="G20" s="30">
        <f t="shared" si="1"/>
        <v>160190</v>
      </c>
    </row>
    <row r="21" spans="1:8" x14ac:dyDescent="0.2">
      <c r="A21" s="1" t="s">
        <v>8</v>
      </c>
      <c r="C21" s="20"/>
      <c r="D21" s="16"/>
      <c r="E21" s="15"/>
      <c r="F21" s="20"/>
      <c r="G21" s="20"/>
    </row>
    <row r="22" spans="1:8" x14ac:dyDescent="0.2">
      <c r="A22" s="17" t="s">
        <v>22</v>
      </c>
      <c r="B22" s="30">
        <f t="shared" ref="B22:G22" si="2">B7-B20</f>
        <v>-103750.71000000002</v>
      </c>
      <c r="C22" s="30">
        <f t="shared" si="2"/>
        <v>-138893.09999999998</v>
      </c>
      <c r="D22" s="19">
        <f t="shared" si="2"/>
        <v>-110298.11000000002</v>
      </c>
      <c r="E22" s="18">
        <f t="shared" si="2"/>
        <v>-88186.180000000008</v>
      </c>
      <c r="F22" s="30">
        <f t="shared" si="2"/>
        <v>-99510</v>
      </c>
      <c r="G22" s="30">
        <f t="shared" si="2"/>
        <v>-131880</v>
      </c>
    </row>
    <row r="23" spans="1:8" x14ac:dyDescent="0.2">
      <c r="A23" s="1" t="s">
        <v>8</v>
      </c>
      <c r="C23" s="20"/>
      <c r="D23" s="20"/>
      <c r="E23" s="20"/>
      <c r="F23" s="20"/>
      <c r="G23" s="20"/>
    </row>
    <row r="24" spans="1:8" x14ac:dyDescent="0.2">
      <c r="A24" s="1" t="s">
        <v>8</v>
      </c>
      <c r="F24" s="24"/>
    </row>
    <row r="25" spans="1:8" x14ac:dyDescent="0.2">
      <c r="A25" s="1" t="s">
        <v>8</v>
      </c>
      <c r="B25" s="38">
        <v>2019</v>
      </c>
      <c r="F25" s="14"/>
    </row>
    <row r="26" spans="1:8" x14ac:dyDescent="0.2">
      <c r="A26" s="1" t="s">
        <v>8</v>
      </c>
      <c r="B26" s="172">
        <f>(B22/'GG -Admin'!C9)*-1</f>
        <v>6.7933495350719075E-2</v>
      </c>
      <c r="C26" s="14" t="s">
        <v>306</v>
      </c>
      <c r="E26" s="172">
        <f>(G22/'GG -Admin'!H9)*-1</f>
        <v>8.204809157930755E-2</v>
      </c>
      <c r="F26" s="14" t="s">
        <v>306</v>
      </c>
    </row>
    <row r="27" spans="1:8" x14ac:dyDescent="0.2">
      <c r="B27" s="172">
        <f>(B22/'SUMMARY-F'!B5)*-1</f>
        <v>3.5301177033561858E-2</v>
      </c>
      <c r="C27" s="14" t="s">
        <v>166</v>
      </c>
      <c r="E27" s="172">
        <f>(G22/'SUMMARY-F'!G5)*-1</f>
        <v>4.3741293532338306E-2</v>
      </c>
      <c r="F27" s="14" t="s">
        <v>166</v>
      </c>
    </row>
    <row r="28" spans="1:8" x14ac:dyDescent="0.2">
      <c r="A28" s="1" t="s">
        <v>8</v>
      </c>
    </row>
    <row r="29" spans="1:8" x14ac:dyDescent="0.2">
      <c r="F29" s="31"/>
    </row>
    <row r="30" spans="1:8" x14ac:dyDescent="0.2">
      <c r="A30" s="32"/>
    </row>
    <row r="36" spans="11:11" ht="15" x14ac:dyDescent="0.35">
      <c r="K36" s="33"/>
    </row>
  </sheetData>
  <pageMargins left="0.74803149606299213" right="0.74803149606299213" top="0.65625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Culture Summary 
</oddHeader>
    <oddFooter>&amp;L&amp;P of &amp;N &amp;C&amp;R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27BBB-68B5-4ED2-A5C1-A24BC1D188AE}">
  <dimension ref="A1:J41"/>
  <sheetViews>
    <sheetView topLeftCell="A25" zoomScale="150" zoomScaleNormal="150" zoomScalePageLayoutView="80" workbookViewId="0">
      <selection activeCell="G9" sqref="G9"/>
    </sheetView>
  </sheetViews>
  <sheetFormatPr defaultColWidth="8.85546875" defaultRowHeight="12.75" x14ac:dyDescent="0.2"/>
  <cols>
    <col min="1" max="1" width="12.140625" style="1" customWidth="1"/>
    <col min="2" max="2" width="22.7109375" style="1" customWidth="1"/>
    <col min="3" max="4" width="8.140625" style="1" bestFit="1" customWidth="1"/>
    <col min="5" max="5" width="7.5703125" style="1" bestFit="1" customWidth="1"/>
    <col min="6" max="6" width="8.140625" style="1" bestFit="1" customWidth="1"/>
    <col min="7" max="7" width="10.85546875" style="1" customWidth="1"/>
    <col min="8" max="8" width="8.140625" style="1" bestFit="1" customWidth="1"/>
    <col min="9" max="16384" width="8.85546875" style="1"/>
  </cols>
  <sheetData>
    <row r="1" spans="1:8" x14ac:dyDescent="0.2">
      <c r="B1" s="71"/>
      <c r="C1" s="2">
        <v>2019</v>
      </c>
      <c r="D1" s="2">
        <v>2020</v>
      </c>
      <c r="E1" s="3">
        <v>2021</v>
      </c>
      <c r="F1" s="2">
        <v>2022</v>
      </c>
      <c r="G1" s="2">
        <v>2021</v>
      </c>
      <c r="H1" s="2">
        <v>2022</v>
      </c>
    </row>
    <row r="2" spans="1:8" x14ac:dyDescent="0.2">
      <c r="B2" s="2"/>
      <c r="C2" s="4" t="s">
        <v>0</v>
      </c>
      <c r="D2" s="5" t="s">
        <v>0</v>
      </c>
      <c r="E2" s="6" t="s">
        <v>0</v>
      </c>
      <c r="F2" s="5" t="s">
        <v>0</v>
      </c>
      <c r="G2" s="5" t="s">
        <v>1</v>
      </c>
      <c r="H2" s="5" t="s">
        <v>1</v>
      </c>
    </row>
    <row r="3" spans="1:8" x14ac:dyDescent="0.2">
      <c r="A3" s="7" t="s">
        <v>2</v>
      </c>
      <c r="E3" s="8"/>
    </row>
    <row r="4" spans="1:8" x14ac:dyDescent="0.2">
      <c r="A4" s="173" t="s">
        <v>28</v>
      </c>
      <c r="B4" s="7"/>
      <c r="C4" s="7"/>
      <c r="D4" s="7"/>
      <c r="E4" s="174"/>
      <c r="F4" s="7"/>
      <c r="G4" s="7"/>
      <c r="H4" s="7"/>
    </row>
    <row r="5" spans="1:8" x14ac:dyDescent="0.2">
      <c r="A5" s="37" t="s">
        <v>307</v>
      </c>
      <c r="B5" s="1" t="str">
        <f>VLOOKUP(A5,'[1]SQL DATA'!$B:$J,3,FALSE)</f>
        <v>F&amp;C - Community Halls Fees</v>
      </c>
      <c r="C5" s="20">
        <f>VLOOKUP(A5,'[1]SQL DATA'!$B:$K,10,FALSE)</f>
        <v>16669.53</v>
      </c>
      <c r="D5" s="20">
        <f>VLOOKUP(A5,'[1]SQL DATA'!$B:$J,9,FALSE)</f>
        <v>18975</v>
      </c>
      <c r="E5" s="16">
        <f>VLOOKUP(A5,'[1]SQL DATA'!$B:$J,7,FALSE)</f>
        <v>15281.55</v>
      </c>
      <c r="F5" s="15">
        <f>VLOOKUP(A5,'[1]SQL DATA'!$B:$J,6,FALSE)</f>
        <v>11677.5</v>
      </c>
      <c r="G5" s="73">
        <v>16500</v>
      </c>
      <c r="H5" s="73">
        <v>16500</v>
      </c>
    </row>
    <row r="6" spans="1:8" x14ac:dyDescent="0.2">
      <c r="A6" s="9" t="s">
        <v>42</v>
      </c>
      <c r="B6" s="82"/>
      <c r="C6" s="92">
        <f t="shared" ref="C6:H6" si="0">+C5</f>
        <v>16669.53</v>
      </c>
      <c r="D6" s="92">
        <f t="shared" si="0"/>
        <v>18975</v>
      </c>
      <c r="E6" s="91">
        <f t="shared" si="0"/>
        <v>15281.55</v>
      </c>
      <c r="F6" s="90">
        <f t="shared" si="0"/>
        <v>11677.5</v>
      </c>
      <c r="G6" s="92">
        <f t="shared" si="0"/>
        <v>16500</v>
      </c>
      <c r="H6" s="92">
        <f t="shared" si="0"/>
        <v>16500</v>
      </c>
    </row>
    <row r="7" spans="1:8" x14ac:dyDescent="0.2">
      <c r="D7" s="73"/>
      <c r="E7" s="50"/>
      <c r="F7" s="49"/>
      <c r="G7" s="73"/>
      <c r="H7" s="73"/>
    </row>
    <row r="8" spans="1:8" x14ac:dyDescent="0.2">
      <c r="A8" s="45" t="s">
        <v>43</v>
      </c>
      <c r="D8" s="73"/>
      <c r="E8" s="50"/>
      <c r="F8" s="49"/>
      <c r="G8" s="73"/>
      <c r="H8" s="73"/>
    </row>
    <row r="9" spans="1:8" x14ac:dyDescent="0.2">
      <c r="B9" s="1" t="s">
        <v>308</v>
      </c>
      <c r="C9" s="81">
        <v>0</v>
      </c>
      <c r="D9" s="83"/>
      <c r="E9" s="85"/>
      <c r="F9" s="84"/>
      <c r="G9" s="83"/>
      <c r="H9" s="83"/>
    </row>
    <row r="10" spans="1:8" x14ac:dyDescent="0.2">
      <c r="A10" s="9" t="s">
        <v>50</v>
      </c>
      <c r="B10" s="81"/>
      <c r="C10" s="92">
        <f>SUM(C9)</f>
        <v>0</v>
      </c>
      <c r="D10" s="20">
        <f>SUM(D9)</f>
        <v>0</v>
      </c>
      <c r="E10" s="16">
        <f t="shared" ref="E10:H10" si="1">SUM(E9)</f>
        <v>0</v>
      </c>
      <c r="F10" s="15">
        <f t="shared" si="1"/>
        <v>0</v>
      </c>
      <c r="G10" s="20">
        <f t="shared" si="1"/>
        <v>0</v>
      </c>
      <c r="H10" s="20">
        <f t="shared" si="1"/>
        <v>0</v>
      </c>
    </row>
    <row r="11" spans="1:8" x14ac:dyDescent="0.2">
      <c r="A11" s="9"/>
      <c r="B11" s="81"/>
      <c r="C11" s="20"/>
      <c r="D11" s="20"/>
      <c r="E11" s="16"/>
      <c r="F11" s="15"/>
      <c r="G11" s="73"/>
      <c r="H11" s="73"/>
    </row>
    <row r="12" spans="1:8" x14ac:dyDescent="0.2">
      <c r="A12" s="51" t="s">
        <v>7</v>
      </c>
      <c r="B12" s="72"/>
      <c r="C12" s="30">
        <f>C6+C10</f>
        <v>16669.53</v>
      </c>
      <c r="D12" s="30">
        <f>D6+D10</f>
        <v>18975</v>
      </c>
      <c r="E12" s="19">
        <f t="shared" ref="E12:H12" si="2">E6+E10</f>
        <v>15281.55</v>
      </c>
      <c r="F12" s="18">
        <f t="shared" si="2"/>
        <v>11677.5</v>
      </c>
      <c r="G12" s="30">
        <f t="shared" si="2"/>
        <v>16500</v>
      </c>
      <c r="H12" s="30">
        <f t="shared" si="2"/>
        <v>16500</v>
      </c>
    </row>
    <row r="13" spans="1:8" x14ac:dyDescent="0.2">
      <c r="D13" s="73"/>
      <c r="E13" s="50"/>
      <c r="F13" s="49"/>
      <c r="G13" s="73"/>
      <c r="H13" s="73"/>
    </row>
    <row r="14" spans="1:8" x14ac:dyDescent="0.2">
      <c r="A14" s="7" t="s">
        <v>9</v>
      </c>
      <c r="B14" s="14"/>
      <c r="C14" s="14"/>
      <c r="D14" s="73"/>
      <c r="E14" s="50"/>
      <c r="F14" s="49"/>
      <c r="G14" s="73"/>
      <c r="H14" s="73"/>
    </row>
    <row r="15" spans="1:8" x14ac:dyDescent="0.2">
      <c r="A15" s="45" t="s">
        <v>51</v>
      </c>
      <c r="B15" s="17"/>
      <c r="C15" s="17"/>
      <c r="D15" s="87"/>
      <c r="E15" s="53"/>
      <c r="F15" s="52"/>
      <c r="G15" s="87"/>
      <c r="H15" s="87"/>
    </row>
    <row r="16" spans="1:8" x14ac:dyDescent="0.2">
      <c r="A16" s="37" t="s">
        <v>309</v>
      </c>
      <c r="B16" s="1" t="str">
        <f>VLOOKUP(A16,'[1]SQL DATA'!$B:$J,3,FALSE)</f>
        <v>R&amp;C - Salaries - Hall</v>
      </c>
      <c r="C16" s="20">
        <f>VLOOKUP(A16,'[1]SQL DATA'!$B:$K,10,FALSE)</f>
        <v>59.16</v>
      </c>
      <c r="D16" s="20">
        <f>VLOOKUP(A16,'[1]SQL DATA'!$B:$J,9,FALSE)</f>
        <v>2156.77</v>
      </c>
      <c r="E16" s="16">
        <f>VLOOKUP(A16,'[1]SQL DATA'!$B:$J,7,FALSE)</f>
        <v>4131.33</v>
      </c>
      <c r="F16" s="15">
        <f>VLOOKUP(A16,'[1]SQL DATA'!$B:$J,6,FALSE)</f>
        <v>1147</v>
      </c>
      <c r="G16" s="73">
        <v>5400</v>
      </c>
      <c r="H16" s="73">
        <v>4370</v>
      </c>
    </row>
    <row r="17" spans="1:8" x14ac:dyDescent="0.2">
      <c r="A17" s="37" t="s">
        <v>310</v>
      </c>
      <c r="B17" s="1" t="str">
        <f>VLOOKUP(A17,'[1]SQL DATA'!$B:$J,3,FALSE)</f>
        <v>R&amp;C - Benefits - Hall</v>
      </c>
      <c r="C17" s="20">
        <f>VLOOKUP(A17,'[1]SQL DATA'!$B:$K,10,FALSE)</f>
        <v>112.95</v>
      </c>
      <c r="D17" s="20">
        <f>VLOOKUP(A17,'[1]SQL DATA'!$B:$J,9,FALSE)</f>
        <v>541.11</v>
      </c>
      <c r="E17" s="16">
        <f>VLOOKUP(A17,'[1]SQL DATA'!$B:$J,7,FALSE)</f>
        <v>341.62</v>
      </c>
      <c r="F17" s="15">
        <f>VLOOKUP(A17,'[1]SQL DATA'!$B:$J,6,FALSE)</f>
        <v>370.13</v>
      </c>
      <c r="G17" s="73">
        <v>600</v>
      </c>
      <c r="H17" s="73">
        <v>960</v>
      </c>
    </row>
    <row r="18" spans="1:8" x14ac:dyDescent="0.2">
      <c r="A18" s="9" t="s">
        <v>58</v>
      </c>
      <c r="B18" s="81"/>
      <c r="C18" s="59">
        <f>SUM(C16:C17)</f>
        <v>172.11</v>
      </c>
      <c r="D18" s="59">
        <f>SUM(D16:D17)</f>
        <v>2697.88</v>
      </c>
      <c r="E18" s="48">
        <f>SUM(E16:E17)</f>
        <v>4472.95</v>
      </c>
      <c r="F18" s="47">
        <f>SUM(F16:F17)</f>
        <v>1517.13</v>
      </c>
      <c r="G18" s="59">
        <f t="shared" ref="G18:H18" si="3">SUM(G16:G17)</f>
        <v>6000</v>
      </c>
      <c r="H18" s="59">
        <f t="shared" si="3"/>
        <v>5330</v>
      </c>
    </row>
    <row r="19" spans="1:8" x14ac:dyDescent="0.2">
      <c r="A19" s="1" t="s">
        <v>8</v>
      </c>
      <c r="D19" s="73"/>
      <c r="E19" s="50"/>
      <c r="F19" s="49"/>
      <c r="G19" s="73"/>
      <c r="H19" s="73"/>
    </row>
    <row r="20" spans="1:8" x14ac:dyDescent="0.2">
      <c r="A20" s="34" t="s">
        <v>59</v>
      </c>
      <c r="D20" s="73"/>
      <c r="E20" s="50"/>
      <c r="F20" s="49"/>
      <c r="G20" s="73"/>
      <c r="H20" s="73"/>
    </row>
    <row r="21" spans="1:8" x14ac:dyDescent="0.2">
      <c r="A21" s="37" t="s">
        <v>311</v>
      </c>
      <c r="B21" s="1" t="str">
        <f>VLOOKUP(A21,'[1]SQL DATA'!$B:$J,3,FALSE)</f>
        <v>R&amp;C - Cont. - Contracted Maint. - Hall</v>
      </c>
      <c r="C21" s="20">
        <f>VLOOKUP(A21,'[1]SQL DATA'!$B:$K,10,FALSE)</f>
        <v>6000</v>
      </c>
      <c r="D21" s="20">
        <f>VLOOKUP(A21,'[1]SQL DATA'!$B:$J,9,FALSE)</f>
        <v>3000</v>
      </c>
      <c r="E21" s="16">
        <f>VLOOKUP(A21,'[1]SQL DATA'!$B:$J,7,FALSE)</f>
        <v>0</v>
      </c>
      <c r="F21" s="15">
        <f>VLOOKUP(A21,'[1]SQL DATA'!$B:$J,6,FALSE)</f>
        <v>1656.22</v>
      </c>
      <c r="G21" s="73">
        <v>0</v>
      </c>
      <c r="H21" s="73">
        <v>0</v>
      </c>
    </row>
    <row r="22" spans="1:8" x14ac:dyDescent="0.2">
      <c r="A22" s="37" t="s">
        <v>312</v>
      </c>
      <c r="B22" s="1" t="str">
        <f>VLOOKUP(A22,'[1]SQL DATA'!$B:$J,3,FALSE)</f>
        <v>R&amp;C - Bldg Mat/Supply - Hall</v>
      </c>
      <c r="C22" s="83">
        <f>VLOOKUP(A22,'[1]SQL DATA'!$B:$K,10,FALSE)</f>
        <v>9214.4500000000007</v>
      </c>
      <c r="D22" s="83">
        <f>VLOOKUP(A22,'[1]SQL DATA'!$B:$J,9,FALSE)</f>
        <v>1199.21</v>
      </c>
      <c r="E22" s="85">
        <f>VLOOKUP(A22,'[1]SQL DATA'!$B:$J,7,FALSE)</f>
        <v>4365.62</v>
      </c>
      <c r="F22" s="84">
        <f>VLOOKUP(A22,'[1]SQL DATA'!$B:$J,6,FALSE)</f>
        <v>3908.82</v>
      </c>
      <c r="G22" s="83">
        <v>1000</v>
      </c>
      <c r="H22" s="83">
        <v>0</v>
      </c>
    </row>
    <row r="23" spans="1:8" x14ac:dyDescent="0.2">
      <c r="A23" s="9" t="s">
        <v>66</v>
      </c>
      <c r="B23" s="81"/>
      <c r="C23" s="20">
        <f>SUM(C21:C22)</f>
        <v>15214.45</v>
      </c>
      <c r="D23" s="20">
        <f>SUM(D21:D22)</f>
        <v>4199.21</v>
      </c>
      <c r="E23" s="16">
        <f>SUM(E21:E22)</f>
        <v>4365.62</v>
      </c>
      <c r="F23" s="15">
        <f>SUM(F21:F22)</f>
        <v>5565.04</v>
      </c>
      <c r="G23" s="20">
        <f t="shared" ref="G23:H23" si="4">SUM(G21:G22)</f>
        <v>1000</v>
      </c>
      <c r="H23" s="20">
        <f t="shared" si="4"/>
        <v>0</v>
      </c>
    </row>
    <row r="24" spans="1:8" x14ac:dyDescent="0.2">
      <c r="A24" s="1" t="s">
        <v>8</v>
      </c>
      <c r="D24" s="73"/>
      <c r="E24" s="50"/>
      <c r="F24" s="49"/>
      <c r="G24" s="73"/>
      <c r="H24" s="73"/>
    </row>
    <row r="25" spans="1:8" x14ac:dyDescent="0.2">
      <c r="A25" s="58" t="s">
        <v>67</v>
      </c>
      <c r="B25" s="17"/>
      <c r="C25" s="17"/>
      <c r="D25" s="87"/>
      <c r="E25" s="53"/>
      <c r="F25" s="52"/>
      <c r="G25" s="87"/>
      <c r="H25" s="87"/>
    </row>
    <row r="26" spans="1:8" x14ac:dyDescent="0.2">
      <c r="A26" s="37" t="s">
        <v>313</v>
      </c>
      <c r="B26" s="1" t="str">
        <f>VLOOKUP(A26,'[1]SQL DATA'!$B:$J,3,FALSE)</f>
        <v>R&amp;C - Utility - Power - Hall</v>
      </c>
      <c r="C26" s="20">
        <f>VLOOKUP(A26,'[1]SQL DATA'!$B:$K,10,FALSE)</f>
        <v>3654.08</v>
      </c>
      <c r="D26" s="20">
        <f>VLOOKUP(A26,'[1]SQL DATA'!$B:$J,9,FALSE)</f>
        <v>3613.49</v>
      </c>
      <c r="E26" s="16">
        <f>VLOOKUP(A26,'[1]SQL DATA'!$B:$J,7,FALSE)</f>
        <v>3794.54</v>
      </c>
      <c r="F26" s="15">
        <f>VLOOKUP(A26,'[1]SQL DATA'!$B:$J,6,FALSE)</f>
        <v>3248.9</v>
      </c>
      <c r="G26" s="73">
        <v>3800</v>
      </c>
      <c r="H26" s="73">
        <v>3800</v>
      </c>
    </row>
    <row r="27" spans="1:8" x14ac:dyDescent="0.2">
      <c r="A27" s="37" t="s">
        <v>314</v>
      </c>
      <c r="B27" s="1" t="str">
        <f>VLOOKUP(A27,'[1]SQL DATA'!$B:$J,3,FALSE)</f>
        <v>R&amp;C - Utility - Heat - Hall</v>
      </c>
      <c r="C27" s="20">
        <f>VLOOKUP(A27,'[1]SQL DATA'!$B:$K,10,FALSE)</f>
        <v>2205.5100000000002</v>
      </c>
      <c r="D27" s="73">
        <f>VLOOKUP(A27,'[1]SQL DATA'!$B:$J,9,FALSE)</f>
        <v>2221.02</v>
      </c>
      <c r="E27" s="50">
        <f>VLOOKUP(A27,'[1]SQL DATA'!$B:$J,7,FALSE)</f>
        <v>2201.85</v>
      </c>
      <c r="F27" s="49">
        <f>VLOOKUP(A27,'[1]SQL DATA'!$B:$J,6,FALSE)</f>
        <v>1624.42</v>
      </c>
      <c r="G27" s="73">
        <v>2200</v>
      </c>
      <c r="H27" s="73">
        <v>2200</v>
      </c>
    </row>
    <row r="28" spans="1:8" x14ac:dyDescent="0.2">
      <c r="A28" s="37" t="s">
        <v>315</v>
      </c>
      <c r="B28" s="1" t="str">
        <f>VLOOKUP(A28,'[1]SQL DATA'!$B:$J,3,FALSE)</f>
        <v>R&amp;C - Utility - Water - Hall</v>
      </c>
      <c r="C28" s="83">
        <f>VLOOKUP(A28,'[1]SQL DATA'!$B:$K,10,FALSE)</f>
        <v>967.97</v>
      </c>
      <c r="D28" s="83">
        <f>VLOOKUP(A28,'[1]SQL DATA'!$B:$J,9,FALSE)</f>
        <v>1026.9000000000001</v>
      </c>
      <c r="E28" s="85">
        <f>VLOOKUP(A28,'[1]SQL DATA'!$B:$J,7,FALSE)</f>
        <v>1049.1400000000001</v>
      </c>
      <c r="F28" s="84">
        <f>VLOOKUP(A28,'[1]SQL DATA'!$B:$J,6,FALSE)</f>
        <v>619.79999999999995</v>
      </c>
      <c r="G28" s="83">
        <v>1050</v>
      </c>
      <c r="H28" s="83">
        <v>1050</v>
      </c>
    </row>
    <row r="29" spans="1:8" x14ac:dyDescent="0.2">
      <c r="A29" s="9" t="s">
        <v>72</v>
      </c>
      <c r="B29" s="81"/>
      <c r="C29" s="20">
        <f t="shared" ref="C29:H29" si="5">SUM(C26:C28)</f>
        <v>6827.56</v>
      </c>
      <c r="D29" s="20">
        <f t="shared" si="5"/>
        <v>6861.41</v>
      </c>
      <c r="E29" s="16">
        <f t="shared" si="5"/>
        <v>7045.53</v>
      </c>
      <c r="F29" s="15">
        <f t="shared" si="5"/>
        <v>5493.12</v>
      </c>
      <c r="G29" s="20">
        <f t="shared" si="5"/>
        <v>7050</v>
      </c>
      <c r="H29" s="20">
        <f t="shared" si="5"/>
        <v>7050</v>
      </c>
    </row>
    <row r="30" spans="1:8" x14ac:dyDescent="0.2">
      <c r="D30" s="73"/>
      <c r="E30" s="50"/>
      <c r="F30" s="49"/>
      <c r="G30" s="73"/>
      <c r="H30" s="73"/>
    </row>
    <row r="31" spans="1:8" x14ac:dyDescent="0.2">
      <c r="A31" s="58" t="s">
        <v>111</v>
      </c>
      <c r="B31" s="17"/>
      <c r="C31" s="17"/>
      <c r="D31" s="87"/>
      <c r="E31" s="53"/>
      <c r="F31" s="52"/>
      <c r="G31" s="87"/>
      <c r="H31" s="87"/>
    </row>
    <row r="32" spans="1:8" x14ac:dyDescent="0.2">
      <c r="A32" s="37" t="s">
        <v>316</v>
      </c>
      <c r="B32" s="1" t="str">
        <f>VLOOKUP(A32,'[1]SQL DATA'!$B:$J,3,FALSE)</f>
        <v>R&amp;C - Cont.- Insurance - Hall</v>
      </c>
      <c r="C32" s="20">
        <f>VLOOKUP(A32,'[1]SQL DATA'!$B:$K,10,FALSE)</f>
        <v>3578.56</v>
      </c>
      <c r="D32" s="73">
        <f>VLOOKUP(A32,'[1]SQL DATA'!$B:$J,9,FALSE)</f>
        <v>3565.9</v>
      </c>
      <c r="E32" s="50">
        <f>VLOOKUP(A32,'[1]SQL DATA'!$B:$J,7,FALSE)</f>
        <v>3901.41</v>
      </c>
      <c r="F32" s="49">
        <f>VLOOKUP(A32,'[1]SQL DATA'!$B:$J,6,FALSE)</f>
        <v>4226.82</v>
      </c>
      <c r="G32" s="73">
        <v>3900</v>
      </c>
      <c r="H32" s="73">
        <v>4230</v>
      </c>
    </row>
    <row r="33" spans="1:10" x14ac:dyDescent="0.2">
      <c r="A33" s="37" t="s">
        <v>317</v>
      </c>
      <c r="B33" s="1" t="str">
        <f>VLOOKUP(A33,'[1]SQL DATA'!$B:$J,3,FALSE)</f>
        <v>R&amp;C - Cont. Memberships/Subscript - Hall</v>
      </c>
      <c r="C33" s="20">
        <f>VLOOKUP(A33,'[1]SQL DATA'!$B:$K,10,FALSE)</f>
        <v>185.07</v>
      </c>
      <c r="D33" s="20">
        <f>VLOOKUP(A33,'[1]SQL DATA'!$B:$J,9,FALSE)</f>
        <v>0</v>
      </c>
      <c r="E33" s="16">
        <f>VLOOKUP(A33,'[1]SQL DATA'!$B:$J,7,FALSE)</f>
        <v>198.58</v>
      </c>
      <c r="F33" s="15">
        <f>VLOOKUP(A33,'[1]SQL DATA'!$B:$J,6,FALSE)</f>
        <v>198.58</v>
      </c>
      <c r="G33" s="73">
        <v>200</v>
      </c>
      <c r="H33" s="73">
        <v>200</v>
      </c>
    </row>
    <row r="34" spans="1:10" x14ac:dyDescent="0.2">
      <c r="A34" s="37" t="s">
        <v>318</v>
      </c>
      <c r="B34" s="1" t="str">
        <f>VLOOKUP(A34,'[1]SQL DATA'!$B:$J,3,FALSE)</f>
        <v>R&amp;C - Supplies - Hall</v>
      </c>
      <c r="C34" s="20">
        <f>VLOOKUP(A34,'[1]SQL DATA'!$B:$K,10,FALSE)</f>
        <v>0</v>
      </c>
      <c r="D34" s="20">
        <f>VLOOKUP(A34,'[1]SQL DATA'!$B:$J,9,FALSE)</f>
        <v>0</v>
      </c>
      <c r="E34" s="16">
        <f>VLOOKUP(A34,'[1]SQL DATA'!$B:$J,7,FALSE)</f>
        <v>0</v>
      </c>
      <c r="F34" s="15">
        <f>VLOOKUP(A34,'[1]SQL DATA'!$B:$J,6,FALSE)</f>
        <v>404.88</v>
      </c>
      <c r="G34" s="73">
        <v>0</v>
      </c>
      <c r="H34" s="73">
        <v>0</v>
      </c>
    </row>
    <row r="35" spans="1:10" ht="14.25" x14ac:dyDescent="0.2">
      <c r="A35" s="37" t="s">
        <v>319</v>
      </c>
      <c r="B35" s="1" t="str">
        <f>VLOOKUP(A35,'[1]SQL DATA'!$B:$J,3,FALSE)</f>
        <v>R&amp;C - Bldg Mat/Supply - Hall</v>
      </c>
      <c r="C35" s="83">
        <f>VLOOKUP(A35,'[1]SQL DATA'!$B:$K,10,FALSE)</f>
        <v>9214.4500000000007</v>
      </c>
      <c r="D35" s="83">
        <f>VLOOKUP(A35,'[1]SQL DATA'!$B:$J,9,FALSE)</f>
        <v>1199.21</v>
      </c>
      <c r="E35" s="85">
        <f>VLOOKUP(A35,'[1]SQL DATA'!$B:$J,7,FALSE)</f>
        <v>4365.62</v>
      </c>
      <c r="F35" s="84">
        <f>VLOOKUP(A35,'[1]SQL DATA'!$B:$J,6,FALSE)</f>
        <v>3908.82</v>
      </c>
      <c r="G35" s="83">
        <v>3100</v>
      </c>
      <c r="H35" s="83">
        <v>4100</v>
      </c>
    </row>
    <row r="36" spans="1:10" x14ac:dyDescent="0.2">
      <c r="A36" s="9" t="s">
        <v>85</v>
      </c>
      <c r="B36" s="81"/>
      <c r="C36" s="20">
        <f t="shared" ref="C36:H36" si="6">SUM(C32:C35)</f>
        <v>12978.080000000002</v>
      </c>
      <c r="D36" s="20">
        <f t="shared" si="6"/>
        <v>4765.1100000000006</v>
      </c>
      <c r="E36" s="16">
        <f t="shared" si="6"/>
        <v>8465.61</v>
      </c>
      <c r="F36" s="15">
        <f t="shared" si="6"/>
        <v>8739.1</v>
      </c>
      <c r="G36" s="20">
        <f t="shared" si="6"/>
        <v>7200</v>
      </c>
      <c r="H36" s="20">
        <f t="shared" si="6"/>
        <v>8530</v>
      </c>
    </row>
    <row r="37" spans="1:10" x14ac:dyDescent="0.2">
      <c r="A37" s="9"/>
      <c r="B37" s="81"/>
      <c r="C37" s="81"/>
      <c r="D37" s="73"/>
      <c r="E37" s="50"/>
      <c r="F37" s="49"/>
      <c r="G37" s="73"/>
      <c r="H37" s="73"/>
    </row>
    <row r="38" spans="1:10" x14ac:dyDescent="0.2">
      <c r="A38" s="51" t="s">
        <v>21</v>
      </c>
      <c r="B38" s="72"/>
      <c r="C38" s="30">
        <f t="shared" ref="C38:H38" si="7">C18+C23+C29+C36</f>
        <v>35192.200000000004</v>
      </c>
      <c r="D38" s="30">
        <f t="shared" si="7"/>
        <v>18523.61</v>
      </c>
      <c r="E38" s="19">
        <f t="shared" si="7"/>
        <v>24349.71</v>
      </c>
      <c r="F38" s="18">
        <f t="shared" si="7"/>
        <v>21314.39</v>
      </c>
      <c r="G38" s="30">
        <f t="shared" si="7"/>
        <v>21250</v>
      </c>
      <c r="H38" s="30">
        <f t="shared" si="7"/>
        <v>20910</v>
      </c>
    </row>
    <row r="39" spans="1:10" x14ac:dyDescent="0.2">
      <c r="A39" s="51" t="s">
        <v>8</v>
      </c>
      <c r="C39" s="73"/>
      <c r="D39" s="73"/>
      <c r="E39" s="50"/>
      <c r="F39" s="49"/>
      <c r="G39" s="73"/>
      <c r="H39" s="73"/>
    </row>
    <row r="40" spans="1:10" ht="15.75" customHeight="1" thickBot="1" x14ac:dyDescent="0.25">
      <c r="A40" s="74" t="s">
        <v>22</v>
      </c>
      <c r="B40" s="74"/>
      <c r="C40" s="69">
        <f>(C12)-C38</f>
        <v>-18522.670000000006</v>
      </c>
      <c r="D40" s="69">
        <f>(D12)-D38</f>
        <v>451.38999999999942</v>
      </c>
      <c r="E40" s="70">
        <f t="shared" ref="E40:H40" si="8">(E12)-E38</f>
        <v>-9068.16</v>
      </c>
      <c r="F40" s="69">
        <f t="shared" si="8"/>
        <v>-9636.89</v>
      </c>
      <c r="G40" s="69">
        <f t="shared" si="8"/>
        <v>-4750</v>
      </c>
      <c r="H40" s="69">
        <f t="shared" si="8"/>
        <v>-4410</v>
      </c>
      <c r="J40" s="14"/>
    </row>
    <row r="41" spans="1:10" ht="13.5" thickTop="1" x14ac:dyDescent="0.2">
      <c r="D41" s="73"/>
      <c r="E41" s="73"/>
      <c r="F41" s="73"/>
      <c r="G41" s="73"/>
      <c r="H41" s="73"/>
    </row>
  </sheetData>
  <mergeCells count="1">
    <mergeCell ref="A40:B40"/>
  </mergeCells>
  <pageMargins left="0.74803149606299213" right="0.74803149606299213" top="0.63802083333333337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Community Hall
</oddHeader>
    <oddFooter>&amp;L&amp;P of &amp;N &amp;C&amp;R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8F651-FD23-45EE-B94C-1522AAC3368E}">
  <dimension ref="A1:J38"/>
  <sheetViews>
    <sheetView zoomScale="150" zoomScaleNormal="150" zoomScalePageLayoutView="85" workbookViewId="0">
      <selection activeCell="G9" sqref="G9"/>
    </sheetView>
  </sheetViews>
  <sheetFormatPr defaultColWidth="8.85546875" defaultRowHeight="12.75" x14ac:dyDescent="0.2"/>
  <cols>
    <col min="1" max="1" width="12.42578125" style="1" customWidth="1"/>
    <col min="2" max="2" width="23.85546875" style="37" customWidth="1"/>
    <col min="3" max="5" width="8.140625" style="37" bestFit="1" customWidth="1"/>
    <col min="6" max="6" width="9" style="37" customWidth="1"/>
    <col min="7" max="7" width="10.85546875" style="37" customWidth="1"/>
    <col min="8" max="8" width="8.140625" style="37" bestFit="1" customWidth="1"/>
    <col min="9" max="10" width="11.28515625" style="1" bestFit="1" customWidth="1"/>
    <col min="11" max="16384" width="8.85546875" style="1"/>
  </cols>
  <sheetData>
    <row r="1" spans="1:8" x14ac:dyDescent="0.2">
      <c r="B1" s="146"/>
      <c r="C1" s="2">
        <v>2019</v>
      </c>
      <c r="D1" s="2">
        <v>2020</v>
      </c>
      <c r="E1" s="3">
        <v>2021</v>
      </c>
      <c r="F1" s="2">
        <v>2022</v>
      </c>
      <c r="G1" s="2">
        <v>2021</v>
      </c>
      <c r="H1" s="2">
        <v>2022</v>
      </c>
    </row>
    <row r="2" spans="1:8" x14ac:dyDescent="0.2">
      <c r="C2" s="4" t="s">
        <v>0</v>
      </c>
      <c r="D2" s="5" t="s">
        <v>0</v>
      </c>
      <c r="E2" s="6" t="s">
        <v>0</v>
      </c>
      <c r="F2" s="5" t="s">
        <v>0</v>
      </c>
      <c r="G2" s="5" t="s">
        <v>1</v>
      </c>
      <c r="H2" s="5" t="s">
        <v>1</v>
      </c>
    </row>
    <row r="3" spans="1:8" x14ac:dyDescent="0.2">
      <c r="A3" s="7" t="s">
        <v>2</v>
      </c>
      <c r="D3" s="175"/>
      <c r="E3" s="176"/>
      <c r="F3" s="175"/>
    </row>
    <row r="4" spans="1:8" x14ac:dyDescent="0.2">
      <c r="A4" s="45" t="s">
        <v>28</v>
      </c>
      <c r="D4" s="175"/>
      <c r="E4" s="176"/>
      <c r="F4" s="175"/>
    </row>
    <row r="5" spans="1:8" x14ac:dyDescent="0.2">
      <c r="A5" s="45" t="s">
        <v>320</v>
      </c>
      <c r="B5" s="1" t="str">
        <f>VLOOKUP(A5,'[1]SQL DATA'!$B:$J,3,FALSE)</f>
        <v>F&amp;C - Rec Program Fees - Theatre</v>
      </c>
      <c r="C5" s="83">
        <f>VLOOKUP(A5,'[1]SQL DATA'!$B:$K,10,FALSE)</f>
        <v>3335</v>
      </c>
      <c r="D5" s="83">
        <f>VLOOKUP(A5,'[1]SQL DATA'!$B:$J,9,FALSE)</f>
        <v>-500</v>
      </c>
      <c r="E5" s="85">
        <f>VLOOKUP(A5,'[1]SQL DATA'!$B:$J,7,FALSE)</f>
        <v>200</v>
      </c>
      <c r="F5" s="84">
        <f>VLOOKUP(A5,'[1]SQL DATA'!$B:$J,6,FALSE)</f>
        <v>1775</v>
      </c>
      <c r="G5" s="86">
        <v>3340</v>
      </c>
      <c r="H5" s="86">
        <v>500</v>
      </c>
    </row>
    <row r="6" spans="1:8" x14ac:dyDescent="0.2">
      <c r="A6" s="1" t="s">
        <v>42</v>
      </c>
      <c r="B6" s="151"/>
      <c r="C6" s="177">
        <f t="shared" ref="C6:H6" si="0">SUM(C5:C5)</f>
        <v>3335</v>
      </c>
      <c r="D6" s="177">
        <f t="shared" si="0"/>
        <v>-500</v>
      </c>
      <c r="E6" s="178">
        <f t="shared" si="0"/>
        <v>200</v>
      </c>
      <c r="F6" s="179">
        <f t="shared" si="0"/>
        <v>1775</v>
      </c>
      <c r="G6" s="177">
        <f t="shared" si="0"/>
        <v>3340</v>
      </c>
      <c r="H6" s="177">
        <f t="shared" si="0"/>
        <v>500</v>
      </c>
    </row>
    <row r="7" spans="1:8" x14ac:dyDescent="0.2">
      <c r="C7" s="79"/>
      <c r="D7" s="79"/>
      <c r="E7" s="89"/>
      <c r="F7" s="88"/>
      <c r="G7" s="79"/>
      <c r="H7" s="79"/>
    </row>
    <row r="8" spans="1:8" x14ac:dyDescent="0.2">
      <c r="A8" s="2" t="s">
        <v>7</v>
      </c>
      <c r="B8" s="151"/>
      <c r="C8" s="30">
        <f t="shared" ref="C8:H8" si="1">C6</f>
        <v>3335</v>
      </c>
      <c r="D8" s="30">
        <f t="shared" si="1"/>
        <v>-500</v>
      </c>
      <c r="E8" s="19">
        <f t="shared" si="1"/>
        <v>200</v>
      </c>
      <c r="F8" s="18">
        <f t="shared" si="1"/>
        <v>1775</v>
      </c>
      <c r="G8" s="30">
        <f t="shared" si="1"/>
        <v>3340</v>
      </c>
      <c r="H8" s="30">
        <f t="shared" si="1"/>
        <v>500</v>
      </c>
    </row>
    <row r="9" spans="1:8" x14ac:dyDescent="0.2">
      <c r="A9" s="1" t="s">
        <v>8</v>
      </c>
      <c r="D9" s="79"/>
      <c r="E9" s="89"/>
      <c r="F9" s="88"/>
      <c r="G9" s="79"/>
      <c r="H9" s="79"/>
    </row>
    <row r="10" spans="1:8" x14ac:dyDescent="0.2">
      <c r="A10" s="7" t="s">
        <v>9</v>
      </c>
      <c r="D10" s="79"/>
      <c r="E10" s="89"/>
      <c r="F10" s="88"/>
      <c r="G10" s="79"/>
      <c r="H10" s="79"/>
    </row>
    <row r="11" spans="1:8" x14ac:dyDescent="0.2">
      <c r="A11" s="45" t="s">
        <v>51</v>
      </c>
      <c r="D11" s="79"/>
      <c r="E11" s="89"/>
      <c r="F11" s="88"/>
      <c r="G11" s="79"/>
      <c r="H11" s="79"/>
    </row>
    <row r="12" spans="1:8" x14ac:dyDescent="0.2">
      <c r="A12" s="45" t="s">
        <v>321</v>
      </c>
      <c r="B12" s="1" t="str">
        <f>VLOOKUP(A12,'[1]SQL DATA'!$B:$J,3,FALSE)</f>
        <v>R&amp;C - Salaries - Theatre</v>
      </c>
      <c r="C12" s="20">
        <f>VLOOKUP(A12,'[1]SQL DATA'!$B:$K,10,FALSE)</f>
        <v>362.47</v>
      </c>
      <c r="D12" s="73">
        <f>VLOOKUP(A12,'[1]SQL DATA'!$B:$J,9,FALSE)</f>
        <v>3168.88</v>
      </c>
      <c r="E12" s="50">
        <f>VLOOKUP(A12,'[1]SQL DATA'!$B:$J,7,FALSE)</f>
        <v>2235.35</v>
      </c>
      <c r="F12" s="49">
        <f>VLOOKUP(A12,'[1]SQL DATA'!$B:$J,6,FALSE)</f>
        <v>1504.9</v>
      </c>
      <c r="G12" s="79">
        <v>3170</v>
      </c>
      <c r="H12" s="79">
        <v>2290</v>
      </c>
    </row>
    <row r="13" spans="1:8" x14ac:dyDescent="0.2">
      <c r="A13" s="45" t="s">
        <v>322</v>
      </c>
      <c r="B13" s="1" t="str">
        <f>VLOOKUP(A13,'[1]SQL DATA'!$B:$J,3,FALSE)</f>
        <v>R&amp;C - Benefits - Theatre</v>
      </c>
      <c r="C13" s="83">
        <f>VLOOKUP(A13,'[1]SQL DATA'!$B:$K,10,FALSE)</f>
        <v>28.75</v>
      </c>
      <c r="D13" s="83">
        <f>VLOOKUP(A13,'[1]SQL DATA'!$B:$J,9,FALSE)</f>
        <v>875.02</v>
      </c>
      <c r="E13" s="85">
        <f>VLOOKUP(A13,'[1]SQL DATA'!$B:$J,7,FALSE)</f>
        <v>1065.79</v>
      </c>
      <c r="F13" s="84">
        <f>VLOOKUP(A13,'[1]SQL DATA'!$B:$J,6,FALSE)</f>
        <v>246.12</v>
      </c>
      <c r="G13" s="86">
        <v>880</v>
      </c>
      <c r="H13" s="86">
        <v>500</v>
      </c>
    </row>
    <row r="14" spans="1:8" x14ac:dyDescent="0.2">
      <c r="A14" s="9" t="s">
        <v>58</v>
      </c>
      <c r="B14" s="151"/>
      <c r="C14" s="177">
        <f>SUM(C12:C13)</f>
        <v>391.22</v>
      </c>
      <c r="D14" s="177">
        <f>SUM(D12:D13)</f>
        <v>4043.9</v>
      </c>
      <c r="E14" s="178">
        <f>SUM(E12:E13)</f>
        <v>3301.14</v>
      </c>
      <c r="F14" s="179">
        <f>SUM(F12:F13)</f>
        <v>1751.02</v>
      </c>
      <c r="G14" s="177">
        <f t="shared" ref="G14:H14" si="2">SUM(G12:G13)</f>
        <v>4050</v>
      </c>
      <c r="H14" s="177">
        <f t="shared" si="2"/>
        <v>2790</v>
      </c>
    </row>
    <row r="15" spans="1:8" x14ac:dyDescent="0.2">
      <c r="A15" s="1" t="s">
        <v>8</v>
      </c>
      <c r="D15" s="79"/>
      <c r="E15" s="89"/>
      <c r="F15" s="88"/>
      <c r="G15" s="79"/>
      <c r="H15" s="79"/>
    </row>
    <row r="16" spans="1:8" x14ac:dyDescent="0.2">
      <c r="A16" s="58" t="s">
        <v>59</v>
      </c>
      <c r="D16" s="79"/>
      <c r="E16" s="89"/>
      <c r="F16" s="88"/>
      <c r="G16" s="79"/>
      <c r="H16" s="79"/>
    </row>
    <row r="17" spans="1:8" x14ac:dyDescent="0.2">
      <c r="A17" s="45" t="s">
        <v>323</v>
      </c>
      <c r="B17" s="1" t="str">
        <f>VLOOKUP(A17,'[1]SQL DATA'!$B:$J,3,FALSE)</f>
        <v>R&amp;C - Cont. - Contracted Maint.- Theatre</v>
      </c>
      <c r="C17" s="73">
        <f>VLOOKUP(A17,'[1]SQL DATA'!$B:$K,10,FALSE)</f>
        <v>12319.62</v>
      </c>
      <c r="D17" s="73">
        <f>VLOOKUP(A17,'[1]SQL DATA'!$B:$J,9,FALSE)</f>
        <v>0</v>
      </c>
      <c r="E17" s="50">
        <f>VLOOKUP(A17,'[1]SQL DATA'!$B:$J,7,FALSE)</f>
        <v>-0.05</v>
      </c>
      <c r="F17" s="49">
        <f>VLOOKUP(A17,'[1]SQL DATA'!$B:$J,6,FALSE)</f>
        <v>0</v>
      </c>
      <c r="G17" s="79">
        <v>0</v>
      </c>
      <c r="H17" s="79">
        <v>0</v>
      </c>
    </row>
    <row r="18" spans="1:8" x14ac:dyDescent="0.2">
      <c r="A18" s="45" t="s">
        <v>324</v>
      </c>
      <c r="B18" s="1" t="str">
        <f>VLOOKUP(A18,'[1]SQL DATA'!$B:$J,3,FALSE)</f>
        <v>R&amp;C - Bldg Mat/Supply - Theatre</v>
      </c>
      <c r="C18" s="83">
        <f>VLOOKUP(A18,'[1]SQL DATA'!$B:$K,10,FALSE)</f>
        <v>3150.79</v>
      </c>
      <c r="D18" s="83">
        <f>VLOOKUP(A18,'[1]SQL DATA'!$B:$J,9,FALSE)</f>
        <v>0</v>
      </c>
      <c r="E18" s="85">
        <f>VLOOKUP(A18,'[1]SQL DATA'!$B:$J,7,FALSE)</f>
        <v>1340.48</v>
      </c>
      <c r="F18" s="84">
        <f>VLOOKUP(A18,'[1]SQL DATA'!$B:$J,6,FALSE)</f>
        <v>60.16</v>
      </c>
      <c r="G18" s="86">
        <v>0</v>
      </c>
      <c r="H18" s="86">
        <v>0</v>
      </c>
    </row>
    <row r="19" spans="1:8" x14ac:dyDescent="0.2">
      <c r="A19" s="9" t="s">
        <v>66</v>
      </c>
      <c r="B19" s="151"/>
      <c r="C19" s="177">
        <f t="shared" ref="C19:H19" si="3">SUM(C17:C18)</f>
        <v>15470.41</v>
      </c>
      <c r="D19" s="177">
        <f t="shared" si="3"/>
        <v>0</v>
      </c>
      <c r="E19" s="178">
        <f t="shared" si="3"/>
        <v>1340.43</v>
      </c>
      <c r="F19" s="179">
        <f t="shared" si="3"/>
        <v>60.16</v>
      </c>
      <c r="G19" s="177">
        <f t="shared" si="3"/>
        <v>0</v>
      </c>
      <c r="H19" s="177">
        <f t="shared" si="3"/>
        <v>0</v>
      </c>
    </row>
    <row r="20" spans="1:8" x14ac:dyDescent="0.2">
      <c r="A20" s="1" t="s">
        <v>8</v>
      </c>
      <c r="D20" s="79"/>
      <c r="E20" s="89"/>
      <c r="F20" s="88"/>
      <c r="G20" s="79"/>
      <c r="H20" s="79"/>
    </row>
    <row r="21" spans="1:8" x14ac:dyDescent="0.2">
      <c r="A21" s="58" t="s">
        <v>67</v>
      </c>
      <c r="D21" s="79"/>
      <c r="E21" s="89"/>
      <c r="F21" s="88"/>
      <c r="G21" s="79"/>
      <c r="H21" s="79"/>
    </row>
    <row r="22" spans="1:8" x14ac:dyDescent="0.2">
      <c r="A22" s="45" t="s">
        <v>325</v>
      </c>
      <c r="B22" s="1" t="str">
        <f>VLOOKUP(A22,'[1]SQL DATA'!$B:$J,3,FALSE)</f>
        <v>R&amp;C - Utility - Power - Theatre</v>
      </c>
      <c r="C22" s="20">
        <f>VLOOKUP(A22,'[1]SQL DATA'!$B:$K,10,FALSE)</f>
        <v>3261</v>
      </c>
      <c r="D22" s="73">
        <f>VLOOKUP(A22,'[1]SQL DATA'!$B:$J,9,FALSE)</f>
        <v>1971</v>
      </c>
      <c r="E22" s="50">
        <f>VLOOKUP(A22,'[1]SQL DATA'!$B:$J,7,FALSE)</f>
        <v>2404.92</v>
      </c>
      <c r="F22" s="49">
        <f>VLOOKUP(A22,'[1]SQL DATA'!$B:$J,6,FALSE)</f>
        <v>1715.66</v>
      </c>
      <c r="G22" s="79">
        <v>3300</v>
      </c>
      <c r="H22" s="79">
        <v>2500</v>
      </c>
    </row>
    <row r="23" spans="1:8" x14ac:dyDescent="0.2">
      <c r="A23" s="45" t="s">
        <v>326</v>
      </c>
      <c r="B23" s="1" t="str">
        <f>VLOOKUP(A23,'[1]SQL DATA'!$B:$J,3,FALSE)</f>
        <v>R&amp;C - Utility - Heat - Theatre</v>
      </c>
      <c r="C23" s="20">
        <f>VLOOKUP(A23,'[1]SQL DATA'!$B:$K,10,FALSE)</f>
        <v>4319.7700000000004</v>
      </c>
      <c r="D23" s="73">
        <f>VLOOKUP(A23,'[1]SQL DATA'!$B:$J,9,FALSE)</f>
        <v>4154.95</v>
      </c>
      <c r="E23" s="50">
        <f>VLOOKUP(A23,'[1]SQL DATA'!$B:$J,7,FALSE)</f>
        <v>2299.88</v>
      </c>
      <c r="F23" s="49">
        <f>VLOOKUP(A23,'[1]SQL DATA'!$B:$J,6,FALSE)</f>
        <v>4136.47</v>
      </c>
      <c r="G23" s="79">
        <v>4400</v>
      </c>
      <c r="H23" s="79">
        <v>2500</v>
      </c>
    </row>
    <row r="24" spans="1:8" x14ac:dyDescent="0.2">
      <c r="A24" s="45" t="s">
        <v>327</v>
      </c>
      <c r="B24" s="1" t="str">
        <f>VLOOKUP(A24,'[1]SQL DATA'!$B:$J,3,FALSE)</f>
        <v>R&amp;C - Utility - Water - Theatre</v>
      </c>
      <c r="C24" s="20">
        <f>VLOOKUP(A24,'[1]SQL DATA'!$B:$K,10,FALSE)</f>
        <v>1077.92</v>
      </c>
      <c r="D24" s="73">
        <f>VLOOKUP(A24,'[1]SQL DATA'!$B:$J,9,FALSE)</f>
        <v>1528.17</v>
      </c>
      <c r="E24" s="50">
        <f>VLOOKUP(A24,'[1]SQL DATA'!$B:$J,7,FALSE)</f>
        <v>1239.69</v>
      </c>
      <c r="F24" s="49">
        <f>VLOOKUP(A24,'[1]SQL DATA'!$B:$J,6,FALSE)</f>
        <v>716.66</v>
      </c>
      <c r="G24" s="79">
        <v>1100</v>
      </c>
      <c r="H24" s="79">
        <v>1300</v>
      </c>
    </row>
    <row r="25" spans="1:8" x14ac:dyDescent="0.2">
      <c r="A25" s="9" t="s">
        <v>72</v>
      </c>
      <c r="B25" s="151"/>
      <c r="C25" s="66">
        <f t="shared" ref="C25:H25" si="4">SUM(C22:C24)</f>
        <v>8658.69</v>
      </c>
      <c r="D25" s="66">
        <f t="shared" si="4"/>
        <v>7654.12</v>
      </c>
      <c r="E25" s="68">
        <f t="shared" si="4"/>
        <v>5944.49</v>
      </c>
      <c r="F25" s="67">
        <f t="shared" si="4"/>
        <v>6568.79</v>
      </c>
      <c r="G25" s="66">
        <f t="shared" si="4"/>
        <v>8800</v>
      </c>
      <c r="H25" s="66">
        <f t="shared" si="4"/>
        <v>6300</v>
      </c>
    </row>
    <row r="26" spans="1:8" x14ac:dyDescent="0.2">
      <c r="A26" s="1" t="s">
        <v>8</v>
      </c>
      <c r="D26" s="79"/>
      <c r="E26" s="89"/>
      <c r="F26" s="88"/>
      <c r="G26" s="79"/>
      <c r="H26" s="79"/>
    </row>
    <row r="27" spans="1:8" x14ac:dyDescent="0.2">
      <c r="A27" s="58" t="s">
        <v>111</v>
      </c>
      <c r="D27" s="79"/>
      <c r="E27" s="89"/>
      <c r="F27" s="88"/>
      <c r="G27" s="79"/>
      <c r="H27" s="79"/>
    </row>
    <row r="28" spans="1:8" x14ac:dyDescent="0.2">
      <c r="A28" s="45" t="s">
        <v>328</v>
      </c>
      <c r="B28" s="1" t="str">
        <f>VLOOKUP(A28,'[1]SQL DATA'!$B:$J,3,FALSE)</f>
        <v>R&amp;C - Cont. - Insurance - Theatre</v>
      </c>
      <c r="C28" s="20">
        <f>VLOOKUP(A28,'[1]SQL DATA'!$B:$K,10,FALSE)</f>
        <v>1317.58</v>
      </c>
      <c r="D28" s="73">
        <f>VLOOKUP(A28,'[1]SQL DATA'!$B:$J,9,FALSE)</f>
        <v>1120.48</v>
      </c>
      <c r="E28" s="50">
        <f>VLOOKUP(A28,'[1]SQL DATA'!$B:$J,7,FALSE)</f>
        <v>1660.57</v>
      </c>
      <c r="F28" s="49">
        <f>VLOOKUP(A28,'[1]SQL DATA'!$B:$J,6,FALSE)</f>
        <v>1781.4</v>
      </c>
      <c r="G28" s="79">
        <v>1660</v>
      </c>
      <c r="H28" s="79">
        <v>1780</v>
      </c>
    </row>
    <row r="29" spans="1:8" ht="14.25" x14ac:dyDescent="0.2">
      <c r="A29" s="45" t="s">
        <v>329</v>
      </c>
      <c r="B29" s="1" t="str">
        <f>VLOOKUP(A29,'[1]SQL DATA'!$B:$J,3,FALSE)</f>
        <v>R&amp;C - Cont. - Memberships/Sub - Theatre</v>
      </c>
      <c r="C29" s="20">
        <f>VLOOKUP(A29,'[1]SQL DATA'!$B:$K,10,FALSE)</f>
        <v>185.07</v>
      </c>
      <c r="D29" s="73">
        <f>VLOOKUP(A29,'[1]SQL DATA'!$B:$J,9,FALSE)</f>
        <v>198.58</v>
      </c>
      <c r="E29" s="50">
        <f>VLOOKUP(A29,'[1]SQL DATA'!$B:$J,7,FALSE)</f>
        <v>198.58</v>
      </c>
      <c r="F29" s="49">
        <f>VLOOKUP(A29,'[1]SQL DATA'!$B:$J,6,FALSE)</f>
        <v>208.04</v>
      </c>
      <c r="G29" s="79">
        <v>200</v>
      </c>
      <c r="H29" s="79">
        <v>200</v>
      </c>
    </row>
    <row r="30" spans="1:8" x14ac:dyDescent="0.2">
      <c r="A30" s="45" t="s">
        <v>330</v>
      </c>
      <c r="B30" s="1" t="str">
        <f>VLOOKUP(A30,'[1]SQL DATA'!$B:$J,3,FALSE)</f>
        <v>R&amp;C - Supplies - Theatre</v>
      </c>
      <c r="C30" s="20">
        <f>VLOOKUP(A30,'[1]SQL DATA'!$B:$K,10,FALSE)</f>
        <v>14.83</v>
      </c>
      <c r="D30" s="73">
        <f>VLOOKUP(A30,'[1]SQL DATA'!$B:$J,9,FALSE)</f>
        <v>1333.23</v>
      </c>
      <c r="E30" s="50">
        <f>VLOOKUP(A30,'[1]SQL DATA'!$B:$J,7,FALSE)</f>
        <v>0</v>
      </c>
      <c r="F30" s="49">
        <f>VLOOKUP(A30,'[1]SQL DATA'!$B:$J,6,FALSE)</f>
        <v>0</v>
      </c>
      <c r="G30" s="79">
        <v>1100</v>
      </c>
      <c r="H30" s="79">
        <v>1100</v>
      </c>
    </row>
    <row r="31" spans="1:8" x14ac:dyDescent="0.2">
      <c r="A31" s="45" t="s">
        <v>324</v>
      </c>
      <c r="B31" s="1" t="str">
        <f>VLOOKUP(A31,'[1]SQL DATA'!$B:$J,3,FALSE)</f>
        <v>R&amp;C - Bldg Mat/Supply - Theatre</v>
      </c>
      <c r="C31" s="20">
        <f>VLOOKUP(A31,'[1]SQL DATA'!$B:$K,10,FALSE)</f>
        <v>3150.79</v>
      </c>
      <c r="D31" s="73">
        <f>VLOOKUP(A31,'[1]SQL DATA'!$B:$J,9,FALSE)</f>
        <v>0</v>
      </c>
      <c r="E31" s="50">
        <f>VLOOKUP(A31,'[1]SQL DATA'!$B:$J,7,FALSE)</f>
        <v>1340.48</v>
      </c>
      <c r="F31" s="49">
        <f>VLOOKUP(A31,'[1]SQL DATA'!$B:$J,6,FALSE)</f>
        <v>60.16</v>
      </c>
      <c r="G31" s="79">
        <v>5500</v>
      </c>
      <c r="H31" s="79">
        <v>5500</v>
      </c>
    </row>
    <row r="32" spans="1:8" x14ac:dyDescent="0.2">
      <c r="A32" s="9" t="s">
        <v>85</v>
      </c>
      <c r="B32" s="151"/>
      <c r="C32" s="66">
        <f t="shared" ref="C32:H32" si="5">SUM(C28:C31)</f>
        <v>4668.2699999999995</v>
      </c>
      <c r="D32" s="66">
        <f t="shared" si="5"/>
        <v>2652.29</v>
      </c>
      <c r="E32" s="68">
        <f t="shared" si="5"/>
        <v>3199.63</v>
      </c>
      <c r="F32" s="67">
        <f t="shared" si="5"/>
        <v>2049.6</v>
      </c>
      <c r="G32" s="66">
        <f t="shared" si="5"/>
        <v>8460</v>
      </c>
      <c r="H32" s="66">
        <f t="shared" si="5"/>
        <v>8580</v>
      </c>
    </row>
    <row r="33" spans="1:10" x14ac:dyDescent="0.2">
      <c r="A33" s="9"/>
      <c r="B33" s="155"/>
      <c r="C33" s="79"/>
      <c r="D33" s="79"/>
      <c r="E33" s="89"/>
      <c r="F33" s="88"/>
      <c r="G33" s="79"/>
      <c r="H33" s="79"/>
    </row>
    <row r="34" spans="1:10" x14ac:dyDescent="0.2">
      <c r="A34" s="34" t="s">
        <v>21</v>
      </c>
      <c r="B34" s="151"/>
      <c r="C34" s="30">
        <f t="shared" ref="C34:H34" si="6">C14+C19+C25+C32</f>
        <v>29188.59</v>
      </c>
      <c r="D34" s="30">
        <f t="shared" si="6"/>
        <v>14350.310000000001</v>
      </c>
      <c r="E34" s="19">
        <f t="shared" si="6"/>
        <v>13785.689999999999</v>
      </c>
      <c r="F34" s="18">
        <f t="shared" si="6"/>
        <v>10429.57</v>
      </c>
      <c r="G34" s="30">
        <f t="shared" si="6"/>
        <v>21310</v>
      </c>
      <c r="H34" s="30">
        <f t="shared" si="6"/>
        <v>17670</v>
      </c>
    </row>
    <row r="35" spans="1:10" x14ac:dyDescent="0.2">
      <c r="A35" s="34" t="s">
        <v>8</v>
      </c>
      <c r="C35" s="79"/>
      <c r="D35" s="79"/>
      <c r="E35" s="89"/>
      <c r="F35" s="88"/>
      <c r="G35" s="79"/>
      <c r="H35" s="79"/>
    </row>
    <row r="36" spans="1:10" ht="13.5" thickBot="1" x14ac:dyDescent="0.25">
      <c r="A36" s="34" t="s">
        <v>22</v>
      </c>
      <c r="B36" s="151"/>
      <c r="C36" s="106">
        <f t="shared" ref="C36:H36" si="7">(+C8)-C34</f>
        <v>-25853.59</v>
      </c>
      <c r="D36" s="106">
        <f t="shared" si="7"/>
        <v>-14850.310000000001</v>
      </c>
      <c r="E36" s="107">
        <f t="shared" si="7"/>
        <v>-13585.689999999999</v>
      </c>
      <c r="F36" s="106">
        <f t="shared" si="7"/>
        <v>-8654.57</v>
      </c>
      <c r="G36" s="106">
        <f t="shared" si="7"/>
        <v>-17970</v>
      </c>
      <c r="H36" s="106">
        <f t="shared" si="7"/>
        <v>-17170</v>
      </c>
      <c r="I36" s="24"/>
      <c r="J36" s="14"/>
    </row>
    <row r="37" spans="1:10" ht="13.5" thickTop="1" x14ac:dyDescent="0.2">
      <c r="A37" s="51" t="s">
        <v>8</v>
      </c>
    </row>
    <row r="38" spans="1:10" x14ac:dyDescent="0.2">
      <c r="A38" s="51" t="s">
        <v>8</v>
      </c>
    </row>
  </sheetData>
  <pageMargins left="0.74803149606299213" right="0.74803149606299213" top="0.5759803921568627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Theatre
</oddHeader>
    <oddFooter>&amp;L&amp;P of &amp;N &amp;C&amp;R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210F7-C497-4D6F-87B8-5FD66F007BF7}">
  <dimension ref="A1:H42"/>
  <sheetViews>
    <sheetView topLeftCell="A22" zoomScale="150" zoomScaleNormal="150" zoomScalePageLayoutView="90" workbookViewId="0">
      <selection activeCell="G9" sqref="G9"/>
    </sheetView>
  </sheetViews>
  <sheetFormatPr defaultColWidth="8.85546875" defaultRowHeight="12.75" x14ac:dyDescent="0.2"/>
  <cols>
    <col min="1" max="1" width="13" style="1" customWidth="1"/>
    <col min="2" max="2" width="27.140625" style="1" customWidth="1"/>
    <col min="3" max="6" width="7.140625" style="1" bestFit="1" customWidth="1"/>
    <col min="7" max="7" width="10.85546875" style="1" customWidth="1"/>
    <col min="8" max="8" width="7.140625" style="1" bestFit="1" customWidth="1"/>
    <col min="9" max="16384" width="8.85546875" style="1"/>
  </cols>
  <sheetData>
    <row r="1" spans="1:8" x14ac:dyDescent="0.2">
      <c r="B1" s="71"/>
      <c r="C1" s="2">
        <v>2019</v>
      </c>
      <c r="D1" s="2">
        <v>2020</v>
      </c>
      <c r="E1" s="3">
        <v>2021</v>
      </c>
      <c r="F1" s="2">
        <v>2022</v>
      </c>
      <c r="G1" s="2">
        <v>2021</v>
      </c>
      <c r="H1" s="2">
        <v>2022</v>
      </c>
    </row>
    <row r="2" spans="1:8" x14ac:dyDescent="0.2">
      <c r="B2" s="2"/>
      <c r="C2" s="4" t="s">
        <v>0</v>
      </c>
      <c r="D2" s="5" t="s">
        <v>0</v>
      </c>
      <c r="E2" s="6" t="s">
        <v>0</v>
      </c>
      <c r="F2" s="5" t="s">
        <v>0</v>
      </c>
      <c r="G2" s="5" t="s">
        <v>1</v>
      </c>
      <c r="H2" s="5" t="s">
        <v>1</v>
      </c>
    </row>
    <row r="3" spans="1:8" x14ac:dyDescent="0.2">
      <c r="A3" s="7" t="s">
        <v>239</v>
      </c>
      <c r="B3" s="37"/>
      <c r="C3" s="37"/>
      <c r="D3" s="37"/>
      <c r="E3" s="164"/>
      <c r="F3" s="37"/>
      <c r="G3" s="37"/>
      <c r="H3" s="37"/>
    </row>
    <row r="4" spans="1:8" x14ac:dyDescent="0.2">
      <c r="A4" s="45" t="s">
        <v>331</v>
      </c>
      <c r="B4" s="1" t="str">
        <f>VLOOKUP(A4,'[1]SQL DATA'!$B:$J,3,FALSE)</f>
        <v>Transfer from Reserves - Museum</v>
      </c>
      <c r="C4" s="20">
        <f>VLOOKUP(A4,'[1]SQL DATA'!$B:$K,10,FALSE)</f>
        <v>0</v>
      </c>
      <c r="D4" s="20">
        <f>VLOOKUP(A4,'[1]SQL DATA'!$B:$J,9,FALSE)</f>
        <v>0</v>
      </c>
      <c r="E4" s="16">
        <f>VLOOKUP(A4,'[1]SQL DATA'!$B:$J,7,FALSE)</f>
        <v>0</v>
      </c>
      <c r="F4" s="15">
        <f>VLOOKUP(A4,'[1]SQL DATA'!$B:$J,6,FALSE)</f>
        <v>0</v>
      </c>
      <c r="G4" s="79">
        <v>0</v>
      </c>
      <c r="H4" s="79">
        <v>0</v>
      </c>
    </row>
    <row r="5" spans="1:8" x14ac:dyDescent="0.2">
      <c r="A5" s="37" t="s">
        <v>27</v>
      </c>
      <c r="B5" s="37"/>
      <c r="C5" s="92">
        <f>C4</f>
        <v>0</v>
      </c>
      <c r="D5" s="92">
        <f>D4</f>
        <v>0</v>
      </c>
      <c r="E5" s="91">
        <f>E4</f>
        <v>0</v>
      </c>
      <c r="F5" s="90">
        <f>F4</f>
        <v>0</v>
      </c>
      <c r="G5" s="92">
        <f t="shared" ref="G5:H5" si="0">G4</f>
        <v>0</v>
      </c>
      <c r="H5" s="92">
        <f t="shared" si="0"/>
        <v>0</v>
      </c>
    </row>
    <row r="6" spans="1:8" x14ac:dyDescent="0.2">
      <c r="A6" s="37"/>
      <c r="B6" s="37"/>
      <c r="C6" s="73"/>
      <c r="D6" s="73"/>
      <c r="E6" s="50"/>
      <c r="F6" s="49"/>
      <c r="G6" s="73"/>
      <c r="H6" s="73"/>
    </row>
    <row r="7" spans="1:8" x14ac:dyDescent="0.2">
      <c r="A7" s="7" t="s">
        <v>2</v>
      </c>
      <c r="E7" s="8"/>
    </row>
    <row r="8" spans="1:8" x14ac:dyDescent="0.2">
      <c r="A8" s="45" t="s">
        <v>28</v>
      </c>
      <c r="E8" s="8"/>
    </row>
    <row r="9" spans="1:8" x14ac:dyDescent="0.2">
      <c r="A9" s="45" t="s">
        <v>332</v>
      </c>
      <c r="B9" s="1" t="str">
        <f>VLOOKUP(A9,'[1]SQL DATA'!$B:$J,3,FALSE)</f>
        <v>F&amp;C - Donations - Museum</v>
      </c>
      <c r="C9" s="20">
        <f>VLOOKUP(A9,'[1]SQL DATA'!$B:$K,10,FALSE)</f>
        <v>350</v>
      </c>
      <c r="D9" s="20">
        <f>VLOOKUP(A9,'[1]SQL DATA'!$B:$J,9,FALSE)</f>
        <v>0</v>
      </c>
      <c r="E9" s="16">
        <f>VLOOKUP(A9,'[1]SQL DATA'!$B:$J,7,FALSE)</f>
        <v>0</v>
      </c>
      <c r="F9" s="15">
        <f>VLOOKUP(A9,'[1]SQL DATA'!$B:$J,6,FALSE)</f>
        <v>0</v>
      </c>
      <c r="G9" s="73">
        <v>0</v>
      </c>
      <c r="H9" s="73"/>
    </row>
    <row r="10" spans="1:8" x14ac:dyDescent="0.2">
      <c r="A10" s="9" t="s">
        <v>42</v>
      </c>
      <c r="B10" s="180"/>
      <c r="C10" s="181">
        <f t="shared" ref="C10:H10" si="1">SUM(C9:C9)</f>
        <v>350</v>
      </c>
      <c r="D10" s="181">
        <f t="shared" si="1"/>
        <v>0</v>
      </c>
      <c r="E10" s="182">
        <f t="shared" si="1"/>
        <v>0</v>
      </c>
      <c r="F10" s="183">
        <f t="shared" si="1"/>
        <v>0</v>
      </c>
      <c r="G10" s="181">
        <f t="shared" si="1"/>
        <v>0</v>
      </c>
      <c r="H10" s="181">
        <f t="shared" si="1"/>
        <v>0</v>
      </c>
    </row>
    <row r="11" spans="1:8" x14ac:dyDescent="0.2">
      <c r="B11" s="180"/>
      <c r="C11" s="138"/>
      <c r="D11" s="138"/>
      <c r="E11" s="111"/>
      <c r="F11" s="110"/>
      <c r="G11" s="138"/>
      <c r="H11" s="138"/>
    </row>
    <row r="12" spans="1:8" x14ac:dyDescent="0.2">
      <c r="A12" s="51" t="s">
        <v>7</v>
      </c>
      <c r="B12" s="72"/>
      <c r="C12" s="30">
        <f t="shared" ref="C12:H12" si="2">+C10</f>
        <v>350</v>
      </c>
      <c r="D12" s="30">
        <f t="shared" si="2"/>
        <v>0</v>
      </c>
      <c r="E12" s="19">
        <f t="shared" si="2"/>
        <v>0</v>
      </c>
      <c r="F12" s="18">
        <f t="shared" si="2"/>
        <v>0</v>
      </c>
      <c r="G12" s="30">
        <f t="shared" si="2"/>
        <v>0</v>
      </c>
      <c r="H12" s="30">
        <f t="shared" si="2"/>
        <v>0</v>
      </c>
    </row>
    <row r="13" spans="1:8" x14ac:dyDescent="0.2">
      <c r="A13" s="51"/>
      <c r="B13" s="72"/>
      <c r="C13" s="72"/>
      <c r="D13" s="87"/>
      <c r="E13" s="53"/>
      <c r="F13" s="52"/>
      <c r="G13" s="87"/>
      <c r="H13" s="87"/>
    </row>
    <row r="14" spans="1:8" x14ac:dyDescent="0.2">
      <c r="A14" s="7" t="s">
        <v>9</v>
      </c>
      <c r="D14" s="73"/>
      <c r="E14" s="50"/>
      <c r="F14" s="49"/>
      <c r="G14" s="73"/>
      <c r="H14" s="73"/>
    </row>
    <row r="15" spans="1:8" x14ac:dyDescent="0.2">
      <c r="A15" s="1" t="s">
        <v>8</v>
      </c>
      <c r="D15" s="73"/>
      <c r="E15" s="50"/>
      <c r="F15" s="49"/>
      <c r="G15" s="73"/>
      <c r="H15" s="73"/>
    </row>
    <row r="16" spans="1:8" x14ac:dyDescent="0.2">
      <c r="A16" s="45" t="s">
        <v>51</v>
      </c>
      <c r="B16" s="82"/>
      <c r="C16" s="82"/>
      <c r="D16" s="73"/>
      <c r="E16" s="50"/>
      <c r="F16" s="49"/>
      <c r="G16" s="73"/>
      <c r="H16" s="73"/>
    </row>
    <row r="17" spans="1:8" x14ac:dyDescent="0.2">
      <c r="A17" s="45" t="s">
        <v>333</v>
      </c>
      <c r="B17" s="1" t="str">
        <f>VLOOKUP(A17,'[1]SQL DATA'!$B:$J,3,FALSE)</f>
        <v>R&amp;C - Salaries - Museum</v>
      </c>
      <c r="C17" s="20">
        <f>VLOOKUP(A17,'[1]SQL DATA'!$B:$K,10,FALSE)</f>
        <v>0</v>
      </c>
      <c r="D17" s="20">
        <f>VLOOKUP(A17,'[1]SQL DATA'!$B:$J,9,FALSE)</f>
        <v>1652.83</v>
      </c>
      <c r="E17" s="16">
        <f>VLOOKUP(A17,'[1]SQL DATA'!$B:$J,7,FALSE)</f>
        <v>2054.0500000000002</v>
      </c>
      <c r="F17" s="15">
        <f>VLOOKUP(A17,'[1]SQL DATA'!$B:$J,6,FALSE)</f>
        <v>33.450000000000003</v>
      </c>
      <c r="G17" s="73">
        <v>1650</v>
      </c>
      <c r="H17" s="73">
        <v>2700</v>
      </c>
    </row>
    <row r="18" spans="1:8" ht="12" customHeight="1" x14ac:dyDescent="0.2">
      <c r="A18" s="45" t="s">
        <v>334</v>
      </c>
      <c r="B18" s="1" t="str">
        <f>VLOOKUP(A18,'[1]SQL DATA'!$B:$J,3,FALSE)</f>
        <v>R&amp;C - Benefits - Museum</v>
      </c>
      <c r="D18" s="20">
        <f>VLOOKUP(A18,'[1]SQL DATA'!$B:$J,9,FALSE)</f>
        <v>0</v>
      </c>
      <c r="E18" s="16">
        <f>VLOOKUP(A18,'[1]SQL DATA'!$B:$J,7,FALSE)</f>
        <v>322.58999999999997</v>
      </c>
      <c r="F18" s="15">
        <f>VLOOKUP(A18,'[1]SQL DATA'!$B:$J,6,FALSE)</f>
        <v>243.12</v>
      </c>
      <c r="G18" s="73">
        <v>460</v>
      </c>
      <c r="H18" s="73">
        <v>600</v>
      </c>
    </row>
    <row r="19" spans="1:8" x14ac:dyDescent="0.2">
      <c r="A19" s="9" t="s">
        <v>58</v>
      </c>
      <c r="B19" s="81"/>
      <c r="C19" s="59">
        <f t="shared" ref="C19:H19" si="3">SUM(C17:C18)</f>
        <v>0</v>
      </c>
      <c r="D19" s="59">
        <f t="shared" si="3"/>
        <v>1652.83</v>
      </c>
      <c r="E19" s="48">
        <f t="shared" si="3"/>
        <v>2376.6400000000003</v>
      </c>
      <c r="F19" s="47">
        <f t="shared" si="3"/>
        <v>276.57</v>
      </c>
      <c r="G19" s="59">
        <f t="shared" si="3"/>
        <v>2110</v>
      </c>
      <c r="H19" s="59">
        <f t="shared" si="3"/>
        <v>3300</v>
      </c>
    </row>
    <row r="20" spans="1:8" x14ac:dyDescent="0.2">
      <c r="A20" s="1" t="s">
        <v>8</v>
      </c>
      <c r="D20" s="73"/>
      <c r="E20" s="50"/>
      <c r="F20" s="49"/>
      <c r="G20" s="73"/>
      <c r="H20" s="73"/>
    </row>
    <row r="21" spans="1:8" x14ac:dyDescent="0.2">
      <c r="A21" s="45" t="s">
        <v>67</v>
      </c>
      <c r="D21" s="73"/>
      <c r="E21" s="50"/>
      <c r="F21" s="49"/>
      <c r="G21" s="73"/>
      <c r="H21" s="73"/>
    </row>
    <row r="22" spans="1:8" x14ac:dyDescent="0.2">
      <c r="A22" s="45" t="s">
        <v>335</v>
      </c>
      <c r="B22" s="1" t="str">
        <f>VLOOKUP(A22,'[1]SQL DATA'!$B:$J,3,FALSE)</f>
        <v>R&amp;C - Utility - Heat - Museum</v>
      </c>
      <c r="C22" s="20">
        <f>VLOOKUP(A22,'[1]SQL DATA'!$B:$K,10,FALSE)</f>
        <v>2830.84</v>
      </c>
      <c r="D22" s="20">
        <f>VLOOKUP(A22,'[1]SQL DATA'!$B:$J,9,FALSE)</f>
        <v>2732.13</v>
      </c>
      <c r="E22" s="16">
        <f>VLOOKUP(A22,'[1]SQL DATA'!$B:$J,7,FALSE)</f>
        <v>2806.14</v>
      </c>
      <c r="F22" s="15">
        <f>VLOOKUP(A22,'[1]SQL DATA'!$B:$J,6,FALSE)</f>
        <v>1953.95</v>
      </c>
      <c r="G22" s="73">
        <v>2950</v>
      </c>
      <c r="H22" s="73">
        <v>2950</v>
      </c>
    </row>
    <row r="23" spans="1:8" x14ac:dyDescent="0.2">
      <c r="A23" s="45" t="s">
        <v>336</v>
      </c>
      <c r="B23" s="1" t="str">
        <f>VLOOKUP(A23,'[1]SQL DATA'!$B:$J,3,FALSE)</f>
        <v>R&amp;C - Utility - Power - Museum</v>
      </c>
      <c r="C23" s="20">
        <f>VLOOKUP(A23,'[1]SQL DATA'!$B:$K,10,FALSE)</f>
        <v>1154.54</v>
      </c>
      <c r="D23" s="20">
        <f>VLOOKUP(A23,'[1]SQL DATA'!$B:$J,9,FALSE)</f>
        <v>1160.8599999999999</v>
      </c>
      <c r="E23" s="16">
        <f>VLOOKUP(A23,'[1]SQL DATA'!$B:$J,7,FALSE)</f>
        <v>1080.3399999999999</v>
      </c>
      <c r="F23" s="15">
        <f>VLOOKUP(A23,'[1]SQL DATA'!$B:$J,6,FALSE)</f>
        <v>778.15</v>
      </c>
      <c r="G23" s="73">
        <v>1200</v>
      </c>
      <c r="H23" s="73">
        <v>1200</v>
      </c>
    </row>
    <row r="24" spans="1:8" x14ac:dyDescent="0.2">
      <c r="A24" s="9" t="s">
        <v>72</v>
      </c>
      <c r="B24" s="72"/>
      <c r="C24" s="30">
        <f>SUM(C22:C23)</f>
        <v>3985.38</v>
      </c>
      <c r="D24" s="30">
        <f>SUM(D22:D23)</f>
        <v>3892.99</v>
      </c>
      <c r="E24" s="19">
        <f>SUM(E22:E23)</f>
        <v>3886.4799999999996</v>
      </c>
      <c r="F24" s="18">
        <f>SUM(F22:F23)</f>
        <v>2732.1</v>
      </c>
      <c r="G24" s="30">
        <f t="shared" ref="G24:H24" si="4">SUM(G22:G23)</f>
        <v>4150</v>
      </c>
      <c r="H24" s="30">
        <f t="shared" si="4"/>
        <v>4150</v>
      </c>
    </row>
    <row r="25" spans="1:8" x14ac:dyDescent="0.2">
      <c r="A25" s="1" t="s">
        <v>8</v>
      </c>
      <c r="D25" s="73"/>
      <c r="E25" s="50"/>
      <c r="F25" s="49"/>
      <c r="G25" s="73"/>
      <c r="H25" s="73"/>
    </row>
    <row r="26" spans="1:8" x14ac:dyDescent="0.2">
      <c r="A26" s="45" t="s">
        <v>111</v>
      </c>
      <c r="D26" s="73"/>
      <c r="E26" s="50"/>
      <c r="F26" s="49"/>
      <c r="G26" s="73"/>
      <c r="H26" s="73"/>
    </row>
    <row r="27" spans="1:8" x14ac:dyDescent="0.2">
      <c r="A27" s="45" t="s">
        <v>337</v>
      </c>
      <c r="B27" s="1" t="str">
        <f>VLOOKUP(A27,'[1]SQL DATA'!$B:$J,3,FALSE)</f>
        <v>R&amp;C - Cont. - Insurance - Museum</v>
      </c>
      <c r="C27" s="20">
        <f>VLOOKUP(A27,'[1]SQL DATA'!$B:$K,10,FALSE)</f>
        <v>204.58</v>
      </c>
      <c r="D27" s="20">
        <f>VLOOKUP(A27,'[1]SQL DATA'!$B:$J,9,FALSE)</f>
        <v>-84.74</v>
      </c>
      <c r="E27" s="16">
        <f>VLOOKUP(A27,'[1]SQL DATA'!$B:$J,7,FALSE)</f>
        <v>554.99</v>
      </c>
      <c r="F27" s="15">
        <f>VLOOKUP(A27,'[1]SQL DATA'!$B:$J,6,FALSE)</f>
        <v>575.12</v>
      </c>
      <c r="G27" s="73">
        <v>550</v>
      </c>
      <c r="H27" s="73">
        <v>580</v>
      </c>
    </row>
    <row r="28" spans="1:8" x14ac:dyDescent="0.2">
      <c r="A28" s="45" t="s">
        <v>338</v>
      </c>
      <c r="B28" s="1" t="str">
        <f>VLOOKUP(A28,'[1]SQL DATA'!$B:$J,3,FALSE)</f>
        <v>R&amp;C - Cont. - Memberships/Sub - Museum</v>
      </c>
      <c r="C28" s="20">
        <f>VLOOKUP(A28,'[1]SQL DATA'!$B:$K,10,FALSE)</f>
        <v>50</v>
      </c>
      <c r="D28" s="20">
        <f>VLOOKUP(A28,'[1]SQL DATA'!$B:$J,9,FALSE)</f>
        <v>50</v>
      </c>
      <c r="E28" s="16">
        <f>VLOOKUP(A28,'[1]SQL DATA'!$B:$J,7,FALSE)</f>
        <v>50</v>
      </c>
      <c r="F28" s="15">
        <f>VLOOKUP(A28,'[1]SQL DATA'!$B:$J,6,FALSE)</f>
        <v>0</v>
      </c>
      <c r="G28" s="73">
        <v>100</v>
      </c>
      <c r="H28" s="73">
        <v>100</v>
      </c>
    </row>
    <row r="29" spans="1:8" x14ac:dyDescent="0.2">
      <c r="A29" s="45" t="s">
        <v>339</v>
      </c>
      <c r="B29" s="1" t="str">
        <f>VLOOKUP(A29,'[1]SQL DATA'!$B:$J,3,FALSE)</f>
        <v>R&amp;C - Cont. - Building Maint. - Museum</v>
      </c>
      <c r="C29" s="20">
        <f>VLOOKUP(A29,'[1]SQL DATA'!$B:$K,10,FALSE)</f>
        <v>15.04</v>
      </c>
      <c r="D29" s="20">
        <f>VLOOKUP(A29,'[1]SQL DATA'!$B:$J,9,FALSE)</f>
        <v>103.03</v>
      </c>
      <c r="E29" s="16">
        <f>VLOOKUP(A29,'[1]SQL DATA'!$B:$J,7,FALSE)</f>
        <v>0</v>
      </c>
      <c r="F29" s="15">
        <f>VLOOKUP(A29,'[1]SQL DATA'!$B:$J,6,FALSE)</f>
        <v>384.19</v>
      </c>
      <c r="G29" s="73">
        <v>50</v>
      </c>
      <c r="H29" s="73">
        <v>50</v>
      </c>
    </row>
    <row r="30" spans="1:8" x14ac:dyDescent="0.2">
      <c r="A30" s="9" t="s">
        <v>85</v>
      </c>
      <c r="B30" s="72"/>
      <c r="C30" s="30">
        <f>SUM(C27:C29)</f>
        <v>269.62</v>
      </c>
      <c r="D30" s="30">
        <f>SUM(D27:D29)</f>
        <v>68.290000000000006</v>
      </c>
      <c r="E30" s="19">
        <f>SUM(E27:E29)</f>
        <v>604.99</v>
      </c>
      <c r="F30" s="18">
        <f>SUM(F27:F29)</f>
        <v>959.31</v>
      </c>
      <c r="G30" s="30">
        <f t="shared" ref="G30:H30" si="5">SUM(G27:G29)</f>
        <v>700</v>
      </c>
      <c r="H30" s="30">
        <f t="shared" si="5"/>
        <v>730</v>
      </c>
    </row>
    <row r="31" spans="1:8" x14ac:dyDescent="0.2">
      <c r="A31" s="9"/>
      <c r="B31" s="82"/>
      <c r="C31" s="20"/>
      <c r="D31" s="20"/>
      <c r="E31" s="16"/>
      <c r="F31" s="15"/>
      <c r="G31" s="73"/>
      <c r="H31" s="73"/>
    </row>
    <row r="32" spans="1:8" x14ac:dyDescent="0.2">
      <c r="A32" s="51" t="s">
        <v>21</v>
      </c>
      <c r="B32" s="72"/>
      <c r="C32" s="30">
        <f>C19+C24+C30</f>
        <v>4255</v>
      </c>
      <c r="D32" s="30">
        <f>D19+D24+D30</f>
        <v>5614.11</v>
      </c>
      <c r="E32" s="19">
        <f>E19+E24+E30</f>
        <v>6868.11</v>
      </c>
      <c r="F32" s="18">
        <f>F19+F24+F30</f>
        <v>3967.98</v>
      </c>
      <c r="G32" s="30">
        <f t="shared" ref="G32:H32" si="6">G19+G24+G30</f>
        <v>6960</v>
      </c>
      <c r="H32" s="30">
        <f t="shared" si="6"/>
        <v>8180</v>
      </c>
    </row>
    <row r="33" spans="1:8" x14ac:dyDescent="0.2">
      <c r="A33" s="51" t="s">
        <v>8</v>
      </c>
      <c r="C33" s="20"/>
      <c r="D33" s="20"/>
      <c r="E33" s="16"/>
      <c r="F33" s="15"/>
      <c r="G33" s="73"/>
      <c r="H33" s="73"/>
    </row>
    <row r="34" spans="1:8" ht="13.5" thickBot="1" x14ac:dyDescent="0.25">
      <c r="A34" s="74" t="s">
        <v>22</v>
      </c>
      <c r="B34" s="74"/>
      <c r="C34" s="118">
        <f>(C12)-C32</f>
        <v>-3905</v>
      </c>
      <c r="D34" s="118">
        <f>(D12)-D32</f>
        <v>-5614.11</v>
      </c>
      <c r="E34" s="70">
        <f t="shared" ref="E34:H34" si="7">(E12)-E32</f>
        <v>-6868.11</v>
      </c>
      <c r="F34" s="69">
        <f t="shared" si="7"/>
        <v>-3967.98</v>
      </c>
      <c r="G34" s="118">
        <f t="shared" si="7"/>
        <v>-6960</v>
      </c>
      <c r="H34" s="118">
        <f t="shared" si="7"/>
        <v>-8180</v>
      </c>
    </row>
    <row r="35" spans="1:8" ht="13.5" thickTop="1" x14ac:dyDescent="0.2">
      <c r="A35" s="1" t="s">
        <v>8</v>
      </c>
      <c r="D35" s="73"/>
      <c r="E35" s="73"/>
      <c r="F35" s="73"/>
      <c r="G35" s="73"/>
      <c r="H35" s="73"/>
    </row>
    <row r="36" spans="1:8" x14ac:dyDescent="0.2">
      <c r="A36" s="1" t="s">
        <v>8</v>
      </c>
    </row>
    <row r="37" spans="1:8" x14ac:dyDescent="0.2">
      <c r="A37" s="1" t="s">
        <v>8</v>
      </c>
    </row>
    <row r="38" spans="1:8" x14ac:dyDescent="0.2">
      <c r="A38" s="184"/>
    </row>
    <row r="42" spans="1:8" x14ac:dyDescent="0.2">
      <c r="A42" s="1" t="s">
        <v>8</v>
      </c>
    </row>
  </sheetData>
  <mergeCells count="1">
    <mergeCell ref="A34:B34"/>
  </mergeCells>
  <pageMargins left="0.74803149606299213" right="0.74803149606299213" top="0.61342592592592593" bottom="0.74803149606299213" header="3.937007874015748E-2" footer="3.937007874015748E-2"/>
  <pageSetup pageOrder="overThenDown" orientation="portrait" r:id="rId1"/>
  <headerFooter>
    <oddHeader xml:space="preserve">&amp;C&amp;"Calibri,Bold"TOWN OF SHELLBROOK&amp;"Calibri,Regular"
Museum
</oddHeader>
    <oddFooter>&amp;L&amp;P of &amp;N &amp;C&amp;R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B104B-D150-4629-A8C4-0C2D4E85FCF9}">
  <dimension ref="A1:K36"/>
  <sheetViews>
    <sheetView zoomScale="150" zoomScaleNormal="150" zoomScalePageLayoutView="90" workbookViewId="0">
      <selection activeCell="G9" sqref="G9"/>
    </sheetView>
  </sheetViews>
  <sheetFormatPr defaultColWidth="8.85546875" defaultRowHeight="12.75" x14ac:dyDescent="0.2"/>
  <cols>
    <col min="1" max="1" width="12.42578125" style="1" customWidth="1"/>
    <col min="2" max="2" width="22" style="1" customWidth="1"/>
    <col min="3" max="3" width="8.140625" style="1" bestFit="1" customWidth="1"/>
    <col min="4" max="4" width="9.140625" style="1" bestFit="1" customWidth="1"/>
    <col min="5" max="5" width="8.140625" style="1" bestFit="1" customWidth="1"/>
    <col min="6" max="6" width="7.85546875" style="1" customWidth="1"/>
    <col min="7" max="7" width="10.85546875" style="1" customWidth="1"/>
    <col min="8" max="8" width="8.140625" style="1" bestFit="1" customWidth="1"/>
    <col min="9" max="10" width="8.85546875" style="1"/>
    <col min="11" max="11" width="11.7109375" style="1" bestFit="1" customWidth="1"/>
    <col min="12" max="16384" width="8.85546875" style="1"/>
  </cols>
  <sheetData>
    <row r="1" spans="1:8" x14ac:dyDescent="0.2">
      <c r="B1" s="71"/>
      <c r="C1" s="2">
        <v>2019</v>
      </c>
      <c r="D1" s="2">
        <v>2020</v>
      </c>
      <c r="E1" s="3">
        <v>2021</v>
      </c>
      <c r="F1" s="2">
        <v>2022</v>
      </c>
      <c r="G1" s="2">
        <v>2021</v>
      </c>
      <c r="H1" s="2">
        <v>2022</v>
      </c>
    </row>
    <row r="2" spans="1:8" x14ac:dyDescent="0.2">
      <c r="B2" s="2"/>
      <c r="C2" s="4" t="s">
        <v>0</v>
      </c>
      <c r="D2" s="5" t="s">
        <v>0</v>
      </c>
      <c r="E2" s="6" t="s">
        <v>0</v>
      </c>
      <c r="F2" s="5" t="s">
        <v>0</v>
      </c>
      <c r="G2" s="5" t="s">
        <v>1</v>
      </c>
      <c r="H2" s="5" t="s">
        <v>1</v>
      </c>
    </row>
    <row r="3" spans="1:8" x14ac:dyDescent="0.2">
      <c r="A3" s="7" t="s">
        <v>2</v>
      </c>
      <c r="E3" s="8"/>
    </row>
    <row r="4" spans="1:8" x14ac:dyDescent="0.2">
      <c r="A4" s="37" t="s">
        <v>28</v>
      </c>
      <c r="E4" s="8"/>
    </row>
    <row r="5" spans="1:8" x14ac:dyDescent="0.2">
      <c r="A5" s="45" t="s">
        <v>340</v>
      </c>
      <c r="B5" s="1" t="str">
        <f>VLOOKUP(A5,'[1]SQL DATA'!$B:$J,3,FALSE)</f>
        <v>F&amp;C - Recreation - Misc. Programming</v>
      </c>
      <c r="C5" s="83">
        <f>VLOOKUP(A5,'[1]SQL DATA'!$B:$K,10,FALSE)</f>
        <v>225</v>
      </c>
      <c r="D5" s="83">
        <f>VLOOKUP(A5,'[1]SQL DATA'!$B:$J,9,FALSE)</f>
        <v>0</v>
      </c>
      <c r="E5" s="85">
        <f>VLOOKUP(A5,'[1]SQL DATA'!$B:$J,7,FALSE)</f>
        <v>3876.12</v>
      </c>
      <c r="F5" s="84">
        <f>VLOOKUP(A5,'[1]SQL DATA'!$B:$J,6,FALSE)</f>
        <v>1830.2</v>
      </c>
      <c r="G5" s="83">
        <v>0</v>
      </c>
      <c r="H5" s="83">
        <v>3880</v>
      </c>
    </row>
    <row r="6" spans="1:8" x14ac:dyDescent="0.2">
      <c r="A6" s="1" t="s">
        <v>42</v>
      </c>
      <c r="B6" s="81"/>
      <c r="C6" s="73">
        <f>SUM(C5:C5)</f>
        <v>225</v>
      </c>
      <c r="D6" s="73">
        <f>SUM(D5:D5)</f>
        <v>0</v>
      </c>
      <c r="E6" s="50">
        <f>SUM(E5:E5)</f>
        <v>3876.12</v>
      </c>
      <c r="F6" s="49">
        <f>SUM(F5:F5)</f>
        <v>1830.2</v>
      </c>
      <c r="G6" s="73">
        <f t="shared" ref="G6:H6" si="0">SUM(G5:G5)</f>
        <v>0</v>
      </c>
      <c r="H6" s="73">
        <f t="shared" si="0"/>
        <v>3880</v>
      </c>
    </row>
    <row r="7" spans="1:8" x14ac:dyDescent="0.2">
      <c r="B7" s="81"/>
      <c r="C7" s="81"/>
      <c r="D7" s="73"/>
      <c r="E7" s="50"/>
      <c r="F7" s="49"/>
      <c r="G7" s="73"/>
      <c r="H7" s="73"/>
    </row>
    <row r="8" spans="1:8" x14ac:dyDescent="0.2">
      <c r="A8" s="45" t="s">
        <v>43</v>
      </c>
      <c r="D8" s="73"/>
      <c r="E8" s="50"/>
      <c r="F8" s="49"/>
      <c r="G8" s="73"/>
      <c r="H8" s="73"/>
    </row>
    <row r="9" spans="1:8" x14ac:dyDescent="0.2">
      <c r="A9" s="45" t="s">
        <v>341</v>
      </c>
      <c r="B9" s="1" t="str">
        <f>VLOOKUP(A9,'[1]SQL DATA'!$B:$J,3,FALSE)</f>
        <v>Conditional - SPRA</v>
      </c>
      <c r="C9" s="83">
        <f>VLOOKUP(A9,'[1]SQL DATA'!$B:$K,10,FALSE)</f>
        <v>0</v>
      </c>
      <c r="D9" s="83">
        <f>VLOOKUP(A9,'[1]SQL DATA'!$B:$J,9,FALSE)</f>
        <v>0</v>
      </c>
      <c r="E9" s="85">
        <f>VLOOKUP(A9,'[1]SQL DATA'!$B:$J,7,FALSE)</f>
        <v>1600</v>
      </c>
      <c r="F9" s="84">
        <f>VLOOKUP(A9,'[1]SQL DATA'!$B:$J,6,FALSE)</f>
        <v>0</v>
      </c>
      <c r="G9" s="83">
        <v>2000</v>
      </c>
      <c r="H9" s="83">
        <v>0</v>
      </c>
    </row>
    <row r="10" spans="1:8" x14ac:dyDescent="0.2">
      <c r="A10" s="1" t="s">
        <v>50</v>
      </c>
      <c r="B10" s="72"/>
      <c r="C10" s="87">
        <f t="shared" ref="C10:H10" si="1">SUM(C9:C9)</f>
        <v>0</v>
      </c>
      <c r="D10" s="87">
        <f t="shared" si="1"/>
        <v>0</v>
      </c>
      <c r="E10" s="53">
        <f t="shared" si="1"/>
        <v>1600</v>
      </c>
      <c r="F10" s="52">
        <f t="shared" si="1"/>
        <v>0</v>
      </c>
      <c r="G10" s="87">
        <f t="shared" si="1"/>
        <v>2000</v>
      </c>
      <c r="H10" s="87">
        <f t="shared" si="1"/>
        <v>0</v>
      </c>
    </row>
    <row r="11" spans="1:8" x14ac:dyDescent="0.2">
      <c r="A11" s="51"/>
      <c r="B11" s="72"/>
      <c r="C11" s="87"/>
      <c r="D11" s="87"/>
      <c r="E11" s="53"/>
      <c r="F11" s="52"/>
      <c r="G11" s="87"/>
      <c r="H11" s="87"/>
    </row>
    <row r="12" spans="1:8" ht="13.5" thickBot="1" x14ac:dyDescent="0.25">
      <c r="A12" s="51" t="s">
        <v>203</v>
      </c>
      <c r="B12" s="72"/>
      <c r="C12" s="118">
        <f t="shared" ref="C12:H12" si="2">C6+C10</f>
        <v>225</v>
      </c>
      <c r="D12" s="118">
        <f t="shared" si="2"/>
        <v>0</v>
      </c>
      <c r="E12" s="70">
        <f t="shared" si="2"/>
        <v>5476.12</v>
      </c>
      <c r="F12" s="69">
        <f t="shared" si="2"/>
        <v>1830.2</v>
      </c>
      <c r="G12" s="118">
        <f t="shared" si="2"/>
        <v>2000</v>
      </c>
      <c r="H12" s="118">
        <f t="shared" si="2"/>
        <v>3880</v>
      </c>
    </row>
    <row r="13" spans="1:8" ht="13.5" thickTop="1" x14ac:dyDescent="0.2">
      <c r="A13" s="51"/>
      <c r="B13" s="72"/>
      <c r="C13" s="72"/>
      <c r="D13" s="87"/>
      <c r="E13" s="53"/>
      <c r="F13" s="52"/>
      <c r="G13" s="87"/>
      <c r="H13" s="87"/>
    </row>
    <row r="14" spans="1:8" x14ac:dyDescent="0.2">
      <c r="A14" s="7" t="s">
        <v>9</v>
      </c>
      <c r="D14" s="73"/>
      <c r="E14" s="50"/>
      <c r="F14" s="49"/>
      <c r="G14" s="73"/>
      <c r="H14" s="73"/>
    </row>
    <row r="15" spans="1:8" x14ac:dyDescent="0.2">
      <c r="B15" s="45" t="s">
        <v>59</v>
      </c>
      <c r="C15" s="83">
        <v>0</v>
      </c>
      <c r="D15" s="83">
        <v>0</v>
      </c>
      <c r="E15" s="85">
        <v>0</v>
      </c>
      <c r="F15" s="84">
        <v>0</v>
      </c>
      <c r="G15" s="83">
        <v>0</v>
      </c>
      <c r="H15" s="83">
        <v>0</v>
      </c>
    </row>
    <row r="16" spans="1:8" x14ac:dyDescent="0.2">
      <c r="A16" s="9" t="s">
        <v>66</v>
      </c>
      <c r="B16" s="72"/>
      <c r="C16" s="72"/>
      <c r="D16" s="87">
        <f>D15</f>
        <v>0</v>
      </c>
      <c r="E16" s="53">
        <f t="shared" ref="E16:H16" si="3">E15</f>
        <v>0</v>
      </c>
      <c r="F16" s="52">
        <f t="shared" si="3"/>
        <v>0</v>
      </c>
      <c r="G16" s="87">
        <f t="shared" si="3"/>
        <v>0</v>
      </c>
      <c r="H16" s="87">
        <f t="shared" si="3"/>
        <v>0</v>
      </c>
    </row>
    <row r="17" spans="1:8" x14ac:dyDescent="0.2">
      <c r="A17" s="1" t="s">
        <v>8</v>
      </c>
      <c r="D17" s="73"/>
      <c r="E17" s="50"/>
      <c r="F17" s="49"/>
      <c r="G17" s="73"/>
      <c r="H17" s="73"/>
    </row>
    <row r="18" spans="1:8" x14ac:dyDescent="0.2">
      <c r="A18" s="45" t="s">
        <v>67</v>
      </c>
      <c r="D18" s="73"/>
      <c r="E18" s="50"/>
      <c r="F18" s="49"/>
      <c r="G18" s="73"/>
      <c r="H18" s="73"/>
    </row>
    <row r="19" spans="1:8" x14ac:dyDescent="0.2">
      <c r="A19" s="45" t="s">
        <v>342</v>
      </c>
      <c r="B19" s="1" t="str">
        <f>VLOOKUP(A19,'[1]SQL DATA'!$B:$J,3,FALSE)</f>
        <v>R&amp;C - Utility - Water - GC</v>
      </c>
      <c r="C19" s="83">
        <f>VLOOKUP(A19,'[1]SQL DATA'!$B:$K,10,FALSE)</f>
        <v>2175.44</v>
      </c>
      <c r="D19" s="83">
        <f>VLOOKUP(A19,'[1]SQL DATA'!$B:$J,9,FALSE)</f>
        <v>2959.75</v>
      </c>
      <c r="E19" s="85">
        <f>VLOOKUP(A19,'[1]SQL DATA'!$B:$J,7,FALSE)</f>
        <v>4340.08</v>
      </c>
      <c r="F19" s="84">
        <f>VLOOKUP(A19,'[1]SQL DATA'!$B:$J,6,FALSE)</f>
        <v>1030.74</v>
      </c>
      <c r="G19" s="83">
        <v>2200</v>
      </c>
      <c r="H19" s="83">
        <v>1350</v>
      </c>
    </row>
    <row r="20" spans="1:8" x14ac:dyDescent="0.2">
      <c r="A20" s="9" t="s">
        <v>72</v>
      </c>
      <c r="B20" s="72"/>
      <c r="C20" s="87">
        <f>+C19</f>
        <v>2175.44</v>
      </c>
      <c r="D20" s="87">
        <f>+D19</f>
        <v>2959.75</v>
      </c>
      <c r="E20" s="53">
        <f>+E19</f>
        <v>4340.08</v>
      </c>
      <c r="F20" s="52">
        <f>+F19</f>
        <v>1030.74</v>
      </c>
      <c r="G20" s="87">
        <f t="shared" ref="G20:H20" si="4">+G19</f>
        <v>2200</v>
      </c>
      <c r="H20" s="87">
        <f t="shared" si="4"/>
        <v>1350</v>
      </c>
    </row>
    <row r="21" spans="1:8" x14ac:dyDescent="0.2">
      <c r="A21" s="1" t="s">
        <v>8</v>
      </c>
      <c r="D21" s="73"/>
      <c r="E21" s="50"/>
      <c r="F21" s="49"/>
      <c r="G21" s="73"/>
      <c r="H21" s="73"/>
    </row>
    <row r="22" spans="1:8" x14ac:dyDescent="0.2">
      <c r="A22" s="45" t="s">
        <v>111</v>
      </c>
      <c r="D22" s="73"/>
      <c r="E22" s="50"/>
      <c r="F22" s="49"/>
      <c r="G22" s="73"/>
      <c r="H22" s="73"/>
    </row>
    <row r="23" spans="1:8" x14ac:dyDescent="0.2">
      <c r="A23" s="45" t="s">
        <v>343</v>
      </c>
      <c r="B23" s="1" t="str">
        <f>VLOOKUP(A23,'[1]SQL DATA'!$B:$J,3,FALSE)</f>
        <v>R&amp;C - Cont. - Insurance - Library &amp; Golf</v>
      </c>
      <c r="C23" s="20">
        <f>VLOOKUP(A23,'[1]SQL DATA'!$B:$K,10,FALSE)</f>
        <v>1839.1</v>
      </c>
      <c r="D23" s="49">
        <f>VLOOKUP(A23,'[1]SQL DATA'!$B:$J,9,FALSE)</f>
        <v>1682.28</v>
      </c>
      <c r="E23" s="50">
        <f>VLOOKUP(A23,'[1]SQL DATA'!$B:$J,7,FALSE)</f>
        <v>3389.93</v>
      </c>
      <c r="F23" s="49">
        <f>VLOOKUP(A23,'[1]SQL DATA'!$B:$J,6,FALSE)</f>
        <v>2796</v>
      </c>
      <c r="G23" s="49">
        <v>2250</v>
      </c>
      <c r="H23" s="49">
        <v>2590</v>
      </c>
    </row>
    <row r="24" spans="1:8" x14ac:dyDescent="0.2">
      <c r="A24" s="45" t="s">
        <v>344</v>
      </c>
      <c r="B24" s="1" t="str">
        <f>VLOOKUP(A24,'[1]SQL DATA'!$B:$J,3,FALSE)</f>
        <v>R&amp;C - Cont. - Library Lease</v>
      </c>
      <c r="C24" s="20">
        <f>VLOOKUP(A24,'[1]SQL DATA'!$B:$K,10,FALSE)</f>
        <v>31400</v>
      </c>
      <c r="D24" s="15">
        <f>VLOOKUP(A24,'[1]SQL DATA'!$B:$J,9,FALSE)</f>
        <v>36019.72</v>
      </c>
      <c r="E24" s="16">
        <f>VLOOKUP(A24,'[1]SQL DATA'!$B:$J,7,FALSE)</f>
        <v>39787.39</v>
      </c>
      <c r="F24" s="15">
        <f>VLOOKUP(A24,'[1]SQL DATA'!$B:$J,6,FALSE)</f>
        <v>21515.69</v>
      </c>
      <c r="G24" s="49">
        <v>36020</v>
      </c>
      <c r="H24" s="49">
        <v>41000</v>
      </c>
    </row>
    <row r="25" spans="1:8" x14ac:dyDescent="0.2">
      <c r="A25" s="45" t="s">
        <v>345</v>
      </c>
      <c r="B25" s="1" t="str">
        <f>VLOOKUP(A25,'[1]SQL DATA'!$B:$J,3,FALSE)</f>
        <v>R&amp;C - General Programming  - Other</v>
      </c>
      <c r="C25" s="20">
        <f>VLOOKUP(A25,'[1]SQL DATA'!$B:$K,10,FALSE)</f>
        <v>0</v>
      </c>
      <c r="D25" s="15">
        <f>VLOOKUP(A25,'[1]SQL DATA'!$B:$J,9,FALSE)</f>
        <v>0</v>
      </c>
      <c r="E25" s="16">
        <f>VLOOKUP(A25,'[1]SQL DATA'!$B:$J,7,FALSE)</f>
        <v>4691.12</v>
      </c>
      <c r="F25" s="15">
        <f>VLOOKUP(A25,'[1]SQL DATA'!$B:$J,6,FALSE)</f>
        <v>2585.42</v>
      </c>
      <c r="G25" s="49">
        <v>3000</v>
      </c>
      <c r="H25" s="49">
        <v>4690</v>
      </c>
    </row>
    <row r="26" spans="1:8" x14ac:dyDescent="0.2">
      <c r="A26" s="45" t="s">
        <v>346</v>
      </c>
      <c r="B26" s="1" t="str">
        <f>VLOOKUP(A26,'[1]SQL DATA'!$B:$J,3,FALSE)</f>
        <v>R&amp;C - Other - Rent - School</v>
      </c>
      <c r="C26" s="83">
        <f>VLOOKUP(A26,'[1]SQL DATA'!$B:$K,10,FALSE)</f>
        <v>0</v>
      </c>
      <c r="D26" s="84">
        <f>VLOOKUP(A26,'[1]SQL DATA'!$B:$J,9,FALSE)</f>
        <v>0</v>
      </c>
      <c r="E26" s="85">
        <f>VLOOKUP(A26,'[1]SQL DATA'!$B:$J,7,FALSE)</f>
        <v>0</v>
      </c>
      <c r="F26" s="84">
        <f>VLOOKUP(A26,'[1]SQL DATA'!$B:$J,6,FALSE)</f>
        <v>0</v>
      </c>
      <c r="G26" s="84">
        <v>0</v>
      </c>
      <c r="H26" s="84">
        <v>0</v>
      </c>
    </row>
    <row r="27" spans="1:8" x14ac:dyDescent="0.2">
      <c r="A27" s="9" t="s">
        <v>85</v>
      </c>
      <c r="B27" s="72"/>
      <c r="C27" s="177">
        <f t="shared" ref="C27:H27" si="5">SUM(C23:C26)</f>
        <v>33239.1</v>
      </c>
      <c r="D27" s="177">
        <f t="shared" si="5"/>
        <v>37702</v>
      </c>
      <c r="E27" s="178">
        <f t="shared" si="5"/>
        <v>47868.44</v>
      </c>
      <c r="F27" s="179">
        <f t="shared" si="5"/>
        <v>26897.11</v>
      </c>
      <c r="G27" s="177">
        <f t="shared" si="5"/>
        <v>41270</v>
      </c>
      <c r="H27" s="177">
        <f t="shared" si="5"/>
        <v>48280</v>
      </c>
    </row>
    <row r="28" spans="1:8" x14ac:dyDescent="0.2">
      <c r="A28" s="1" t="s">
        <v>8</v>
      </c>
      <c r="D28" s="73"/>
      <c r="E28" s="50"/>
      <c r="F28" s="49"/>
      <c r="G28" s="73"/>
      <c r="H28" s="73"/>
    </row>
    <row r="29" spans="1:8" x14ac:dyDescent="0.2">
      <c r="A29" s="45" t="s">
        <v>86</v>
      </c>
      <c r="D29" s="73"/>
      <c r="E29" s="50"/>
      <c r="F29" s="49"/>
      <c r="G29" s="73"/>
      <c r="H29" s="73"/>
    </row>
    <row r="30" spans="1:8" x14ac:dyDescent="0.2">
      <c r="A30" s="45" t="s">
        <v>347</v>
      </c>
      <c r="B30" s="1" t="str">
        <f>VLOOKUP(A30,'[1]SQL DATA'!$B:$J,3,FALSE)</f>
        <v>R&amp;C - Cont. - Grant/Donation</v>
      </c>
      <c r="C30" s="83">
        <f>VLOOKUP(A30,'[1]SQL DATA'!$B:$K,10,FALSE)</f>
        <v>31696.33</v>
      </c>
      <c r="D30" s="83">
        <f>VLOOKUP(A30,'[1]SQL DATA'!$B:$J,9,FALSE)</f>
        <v>96238.86</v>
      </c>
      <c r="E30" s="85">
        <f>VLOOKUP(A30,'[1]SQL DATA'!$B:$J,7,FALSE)</f>
        <v>34269.22</v>
      </c>
      <c r="F30" s="84">
        <f>VLOOKUP(A30,'[1]SQL DATA'!$B:$J,6,FALSE)</f>
        <v>42596.27</v>
      </c>
      <c r="G30" s="83">
        <v>34000</v>
      </c>
      <c r="H30" s="84">
        <v>42000</v>
      </c>
    </row>
    <row r="31" spans="1:8" x14ac:dyDescent="0.2">
      <c r="A31" s="9" t="s">
        <v>88</v>
      </c>
      <c r="B31" s="72"/>
      <c r="C31" s="87">
        <f>SUM(C30)</f>
        <v>31696.33</v>
      </c>
      <c r="D31" s="87">
        <f>SUM(D30)</f>
        <v>96238.86</v>
      </c>
      <c r="E31" s="53">
        <f>SUM(E30)</f>
        <v>34269.22</v>
      </c>
      <c r="F31" s="52">
        <f>SUM(F30)</f>
        <v>42596.27</v>
      </c>
      <c r="G31" s="87">
        <f t="shared" ref="G31:H31" si="6">SUM(G30)</f>
        <v>34000</v>
      </c>
      <c r="H31" s="87">
        <f t="shared" si="6"/>
        <v>42000</v>
      </c>
    </row>
    <row r="32" spans="1:8" x14ac:dyDescent="0.2">
      <c r="A32" s="9"/>
      <c r="B32" s="72"/>
      <c r="C32" s="72"/>
      <c r="D32" s="177"/>
      <c r="E32" s="178"/>
      <c r="F32" s="179"/>
      <c r="G32" s="87"/>
      <c r="H32" s="87"/>
    </row>
    <row r="33" spans="1:11" x14ac:dyDescent="0.2">
      <c r="A33" s="34" t="s">
        <v>21</v>
      </c>
      <c r="B33" s="72"/>
      <c r="C33" s="30">
        <f t="shared" ref="C33:H33" si="7">C16+C20+C27+C31</f>
        <v>67110.87</v>
      </c>
      <c r="D33" s="30">
        <f t="shared" si="7"/>
        <v>136900.60999999999</v>
      </c>
      <c r="E33" s="19">
        <f t="shared" si="7"/>
        <v>86477.74</v>
      </c>
      <c r="F33" s="18">
        <f t="shared" si="7"/>
        <v>70524.12</v>
      </c>
      <c r="G33" s="30">
        <f t="shared" si="7"/>
        <v>77470</v>
      </c>
      <c r="H33" s="30">
        <f t="shared" si="7"/>
        <v>91630</v>
      </c>
    </row>
    <row r="34" spans="1:11" x14ac:dyDescent="0.2">
      <c r="A34" s="34" t="s">
        <v>8</v>
      </c>
      <c r="B34" s="72"/>
      <c r="C34" s="20"/>
      <c r="D34" s="20"/>
      <c r="E34" s="16"/>
      <c r="F34" s="15"/>
      <c r="G34" s="87"/>
      <c r="H34" s="87"/>
    </row>
    <row r="35" spans="1:11" ht="13.5" thickBot="1" x14ac:dyDescent="0.25">
      <c r="A35" s="34" t="s">
        <v>22</v>
      </c>
      <c r="B35" s="72"/>
      <c r="C35" s="118">
        <f>(C12)-C33</f>
        <v>-66885.87</v>
      </c>
      <c r="D35" s="118">
        <f>(D12)-D33</f>
        <v>-136900.60999999999</v>
      </c>
      <c r="E35" s="70">
        <f t="shared" ref="E35:H35" si="8">(E12)-E33</f>
        <v>-81001.62000000001</v>
      </c>
      <c r="F35" s="69">
        <f t="shared" si="8"/>
        <v>-68693.919999999998</v>
      </c>
      <c r="G35" s="118">
        <f t="shared" si="8"/>
        <v>-75470</v>
      </c>
      <c r="H35" s="118">
        <f t="shared" si="8"/>
        <v>-87750</v>
      </c>
      <c r="K35" s="14"/>
    </row>
    <row r="36" spans="1:11" ht="13.5" thickTop="1" x14ac:dyDescent="0.2">
      <c r="A36" s="1" t="s">
        <v>8</v>
      </c>
    </row>
  </sheetData>
  <pageMargins left="0.74803149606299213" right="0.74803149606299213" top="0.60185185185185186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Other Rec Services
</oddHeader>
    <oddFooter>&amp;L&amp;P of &amp;N &amp;C&amp;R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92278-497D-41A8-A368-CE4B32E8D982}">
  <dimension ref="A1:H33"/>
  <sheetViews>
    <sheetView topLeftCell="A22" zoomScale="150" zoomScaleNormal="150" zoomScalePageLayoutView="90" workbookViewId="0">
      <selection activeCell="G9" sqref="G9"/>
    </sheetView>
  </sheetViews>
  <sheetFormatPr defaultColWidth="8.85546875" defaultRowHeight="12.75" x14ac:dyDescent="0.2"/>
  <cols>
    <col min="1" max="1" width="13" style="1" customWidth="1"/>
    <col min="2" max="2" width="26.140625" style="1" customWidth="1"/>
    <col min="3" max="3" width="7.5703125" style="1" bestFit="1" customWidth="1"/>
    <col min="4" max="4" width="8.140625" style="1" bestFit="1" customWidth="1"/>
    <col min="5" max="5" width="7.5703125" style="1" bestFit="1" customWidth="1"/>
    <col min="6" max="6" width="7.140625" style="1" bestFit="1" customWidth="1"/>
    <col min="7" max="7" width="10.85546875" style="1" customWidth="1"/>
    <col min="8" max="8" width="8.140625" style="1" bestFit="1" customWidth="1"/>
    <col min="9" max="16384" width="8.85546875" style="1"/>
  </cols>
  <sheetData>
    <row r="1" spans="1:8" x14ac:dyDescent="0.2">
      <c r="B1" s="71"/>
      <c r="C1" s="2">
        <v>2019</v>
      </c>
      <c r="D1" s="2">
        <v>2020</v>
      </c>
      <c r="E1" s="3">
        <v>2021</v>
      </c>
      <c r="F1" s="2">
        <v>2022</v>
      </c>
      <c r="G1" s="2">
        <v>2021</v>
      </c>
      <c r="H1" s="2">
        <v>2022</v>
      </c>
    </row>
    <row r="2" spans="1:8" x14ac:dyDescent="0.2">
      <c r="B2" s="2"/>
      <c r="C2" s="4" t="s">
        <v>0</v>
      </c>
      <c r="D2" s="5" t="s">
        <v>0</v>
      </c>
      <c r="E2" s="6" t="s">
        <v>0</v>
      </c>
      <c r="F2" s="5" t="s">
        <v>0</v>
      </c>
      <c r="G2" s="5" t="s">
        <v>1</v>
      </c>
      <c r="H2" s="5" t="s">
        <v>1</v>
      </c>
    </row>
    <row r="3" spans="1:8" x14ac:dyDescent="0.2">
      <c r="A3" s="7" t="s">
        <v>2</v>
      </c>
      <c r="E3" s="8"/>
    </row>
    <row r="4" spans="1:8" x14ac:dyDescent="0.2">
      <c r="A4" s="1" t="s">
        <v>104</v>
      </c>
      <c r="E4" s="8"/>
    </row>
    <row r="5" spans="1:8" x14ac:dyDescent="0.2">
      <c r="A5" s="1" t="s">
        <v>348</v>
      </c>
      <c r="B5" s="1" t="str">
        <f>VLOOKUP(A5,'[1]SQL DATA'!$B:$J,3,FALSE)</f>
        <v>Transfer from Reserves - Cemetery</v>
      </c>
      <c r="C5" s="83">
        <f>VLOOKUP(A5,'[1]SQL DATA'!$B:$K,10,FALSE)</f>
        <v>11000</v>
      </c>
      <c r="D5" s="83">
        <f>VLOOKUP(A5,'[1]SQL DATA'!$B:$J,9,FALSE)</f>
        <v>12200</v>
      </c>
      <c r="E5" s="85">
        <f>VLOOKUP(A5,'[1]SQL DATA'!$B:$J,7,FALSE)</f>
        <v>2000</v>
      </c>
      <c r="F5" s="84">
        <f>VLOOKUP(A5,'[1]SQL DATA'!$B:$J,6,FALSE)</f>
        <v>0</v>
      </c>
      <c r="G5" s="83">
        <v>2000</v>
      </c>
      <c r="H5" s="83">
        <v>0</v>
      </c>
    </row>
    <row r="6" spans="1:8" x14ac:dyDescent="0.2">
      <c r="A6" s="9" t="s">
        <v>349</v>
      </c>
      <c r="C6" s="87">
        <f>+C5</f>
        <v>11000</v>
      </c>
      <c r="D6" s="87">
        <f>+D5</f>
        <v>12200</v>
      </c>
      <c r="E6" s="53">
        <f>+E5</f>
        <v>2000</v>
      </c>
      <c r="F6" s="52">
        <f>+F5</f>
        <v>0</v>
      </c>
      <c r="G6" s="87">
        <f t="shared" ref="G6:H6" si="0">+G5</f>
        <v>2000</v>
      </c>
      <c r="H6" s="87">
        <f t="shared" si="0"/>
        <v>0</v>
      </c>
    </row>
    <row r="7" spans="1:8" x14ac:dyDescent="0.2">
      <c r="A7" s="7"/>
      <c r="D7" s="73"/>
      <c r="E7" s="50"/>
      <c r="F7" s="49"/>
      <c r="G7" s="73"/>
      <c r="H7" s="73"/>
    </row>
    <row r="8" spans="1:8" x14ac:dyDescent="0.2">
      <c r="A8" s="45" t="s">
        <v>28</v>
      </c>
      <c r="D8" s="73"/>
      <c r="E8" s="50"/>
      <c r="F8" s="49"/>
      <c r="G8" s="73"/>
      <c r="H8" s="73"/>
    </row>
    <row r="9" spans="1:8" x14ac:dyDescent="0.2">
      <c r="A9" s="1" t="s">
        <v>350</v>
      </c>
      <c r="B9" s="1" t="str">
        <f>VLOOKUP(A9,'[1]SQL DATA'!$B:$J,3,FALSE)</f>
        <v>F&amp;C - Cemetery Plot Sales</v>
      </c>
      <c r="C9" s="20">
        <f>VLOOKUP(A9,'[1]SQL DATA'!$B:$K,10,FALSE)</f>
        <v>2300</v>
      </c>
      <c r="D9" s="73">
        <f>VLOOKUP(A9,'[1]SQL DATA'!$B:$J,9,FALSE)</f>
        <v>650</v>
      </c>
      <c r="E9" s="50">
        <f>VLOOKUP(A9,'[1]SQL DATA'!$B:$J,7,FALSE)</f>
        <v>5950</v>
      </c>
      <c r="F9" s="49">
        <f>VLOOKUP(A9,'[1]SQL DATA'!$B:$J,6,FALSE)</f>
        <v>1765</v>
      </c>
      <c r="G9" s="73">
        <v>2000</v>
      </c>
      <c r="H9" s="73">
        <v>2960</v>
      </c>
    </row>
    <row r="10" spans="1:8" x14ac:dyDescent="0.2">
      <c r="A10" s="1" t="s">
        <v>351</v>
      </c>
      <c r="B10" s="1" t="str">
        <f>VLOOKUP(A10,'[1]SQL DATA'!$B:$J,3,FALSE)</f>
        <v>F&amp;C - Open/Close - Cemetery</v>
      </c>
      <c r="C10" s="20">
        <f>VLOOKUP(A10,'[1]SQL DATA'!$B:$K,10,FALSE)</f>
        <v>4050</v>
      </c>
      <c r="D10" s="73">
        <f>VLOOKUP(A10,'[1]SQL DATA'!$B:$J,9,FALSE)</f>
        <v>1300</v>
      </c>
      <c r="E10" s="50">
        <f>VLOOKUP(A10,'[1]SQL DATA'!$B:$J,7,FALSE)</f>
        <v>1012.5</v>
      </c>
      <c r="F10" s="49">
        <f>VLOOKUP(A10,'[1]SQL DATA'!$B:$J,6,FALSE)</f>
        <v>400</v>
      </c>
      <c r="G10" s="73">
        <v>4000</v>
      </c>
      <c r="H10" s="73">
        <v>2120</v>
      </c>
    </row>
    <row r="11" spans="1:8" x14ac:dyDescent="0.2">
      <c r="A11" s="1" t="s">
        <v>352</v>
      </c>
      <c r="B11" s="1" t="str">
        <f>VLOOKUP(A11,'[1]SQL DATA'!$B:$J,3,FALSE)</f>
        <v>F&amp;C - Licenses &amp; Permits - Cemetery</v>
      </c>
      <c r="C11" s="20">
        <f>VLOOKUP(A11,'[1]SQL DATA'!$B:$K,10,FALSE)</f>
        <v>550</v>
      </c>
      <c r="D11" s="73">
        <f>VLOOKUP(A11,'[1]SQL DATA'!$B:$J,9,FALSE)</f>
        <v>500</v>
      </c>
      <c r="E11" s="50">
        <f>VLOOKUP(A11,'[1]SQL DATA'!$B:$J,7,FALSE)</f>
        <v>1800</v>
      </c>
      <c r="F11" s="49">
        <f>VLOOKUP(A11,'[1]SQL DATA'!$B:$J,6,FALSE)</f>
        <v>300</v>
      </c>
      <c r="G11" s="73">
        <v>500</v>
      </c>
      <c r="H11" s="73">
        <v>950</v>
      </c>
    </row>
    <row r="12" spans="1:8" x14ac:dyDescent="0.2">
      <c r="A12" s="1" t="s">
        <v>353</v>
      </c>
      <c r="B12" s="1" t="str">
        <f>VLOOKUP(A12,'[1]SQL DATA'!$B:$J,3,FALSE)</f>
        <v>F&amp;C - Licenses - Other - Perpetual Care</v>
      </c>
      <c r="C12" s="20">
        <f>VLOOKUP(A12,'[1]SQL DATA'!$B:$K,10,FALSE)</f>
        <v>0</v>
      </c>
      <c r="D12" s="73">
        <f>VLOOKUP(A12,'[1]SQL DATA'!$B:$J,9,FALSE)</f>
        <v>400</v>
      </c>
      <c r="E12" s="50">
        <f>VLOOKUP(A12,'[1]SQL DATA'!$B:$J,7,FALSE)</f>
        <v>5600</v>
      </c>
      <c r="F12" s="49">
        <f>VLOOKUP(A12,'[1]SQL DATA'!$B:$J,6,FALSE)</f>
        <v>800</v>
      </c>
      <c r="G12" s="73">
        <v>0</v>
      </c>
      <c r="H12" s="73">
        <v>1400</v>
      </c>
    </row>
    <row r="13" spans="1:8" x14ac:dyDescent="0.2">
      <c r="A13" s="1" t="s">
        <v>354</v>
      </c>
      <c r="B13" s="1" t="str">
        <f>VLOOKUP(A13,'[1]SQL DATA'!$B:$J,3,FALSE)</f>
        <v>F&amp;C - Donations - Cemetery</v>
      </c>
      <c r="C13" s="83">
        <f>VLOOKUP(A13,'[1]SQL DATA'!$B:$K,10,FALSE)</f>
        <v>2050</v>
      </c>
      <c r="D13" s="83">
        <f>VLOOKUP(A13,'[1]SQL DATA'!$B:$J,9,FALSE)</f>
        <v>0</v>
      </c>
      <c r="E13" s="85">
        <f>VLOOKUP(A13,'[1]SQL DATA'!$B:$J,7,FALSE)</f>
        <v>250</v>
      </c>
      <c r="F13" s="84">
        <f>VLOOKUP(A13,'[1]SQL DATA'!$B:$J,6,FALSE)</f>
        <v>0</v>
      </c>
      <c r="G13" s="83">
        <v>0</v>
      </c>
      <c r="H13" s="83">
        <v>0</v>
      </c>
    </row>
    <row r="14" spans="1:8" x14ac:dyDescent="0.2">
      <c r="A14" s="9" t="s">
        <v>42</v>
      </c>
      <c r="B14" s="82"/>
      <c r="C14" s="177">
        <f>SUM(C9:C13)</f>
        <v>8950</v>
      </c>
      <c r="D14" s="177">
        <f>SUM(D9:D13)</f>
        <v>2850</v>
      </c>
      <c r="E14" s="178">
        <f>SUM(E9:E13)</f>
        <v>14612.5</v>
      </c>
      <c r="F14" s="179">
        <f>SUM(F9:F13)</f>
        <v>3265</v>
      </c>
      <c r="G14" s="177">
        <f t="shared" ref="G14:H14" si="1">SUM(G9:G13)</f>
        <v>6500</v>
      </c>
      <c r="H14" s="177">
        <f t="shared" si="1"/>
        <v>7430</v>
      </c>
    </row>
    <row r="15" spans="1:8" x14ac:dyDescent="0.2">
      <c r="C15" s="73"/>
      <c r="D15" s="73"/>
      <c r="E15" s="50"/>
      <c r="F15" s="49"/>
      <c r="G15" s="73"/>
      <c r="H15" s="73"/>
    </row>
    <row r="16" spans="1:8" x14ac:dyDescent="0.2">
      <c r="A16" s="17" t="s">
        <v>7</v>
      </c>
      <c r="B16" s="105"/>
      <c r="C16" s="30">
        <f>C6+C14</f>
        <v>19950</v>
      </c>
      <c r="D16" s="30">
        <f>D6+D14</f>
        <v>15050</v>
      </c>
      <c r="E16" s="19">
        <f>E6+E14</f>
        <v>16612.5</v>
      </c>
      <c r="F16" s="18">
        <f>F6+F14</f>
        <v>3265</v>
      </c>
      <c r="G16" s="30">
        <f t="shared" ref="G16:H16" si="2">G6+G14</f>
        <v>8500</v>
      </c>
      <c r="H16" s="30">
        <f t="shared" si="2"/>
        <v>7430</v>
      </c>
    </row>
    <row r="17" spans="1:8" x14ac:dyDescent="0.2">
      <c r="A17" s="1" t="s">
        <v>8</v>
      </c>
      <c r="D17" s="73"/>
      <c r="E17" s="50"/>
      <c r="F17" s="49"/>
      <c r="G17" s="73"/>
      <c r="H17" s="73"/>
    </row>
    <row r="18" spans="1:8" x14ac:dyDescent="0.2">
      <c r="A18" s="7" t="s">
        <v>9</v>
      </c>
      <c r="D18" s="73"/>
      <c r="E18" s="50"/>
      <c r="F18" s="49"/>
      <c r="G18" s="73"/>
      <c r="H18" s="73"/>
    </row>
    <row r="19" spans="1:8" x14ac:dyDescent="0.2">
      <c r="A19" s="45" t="s">
        <v>51</v>
      </c>
      <c r="D19" s="73"/>
      <c r="E19" s="50"/>
      <c r="F19" s="49"/>
      <c r="G19" s="73"/>
      <c r="H19" s="73"/>
    </row>
    <row r="20" spans="1:8" x14ac:dyDescent="0.2">
      <c r="A20" s="1" t="s">
        <v>355</v>
      </c>
      <c r="B20" s="1" t="str">
        <f>VLOOKUP(A20,'[1]SQL DATA'!$B:$J,3,FALSE)</f>
        <v>H&amp;W - Salaries - Cemetery</v>
      </c>
      <c r="C20" s="20">
        <f>VLOOKUP(A20,'[1]SQL DATA'!$B:$K,10,FALSE)</f>
        <v>8088.16</v>
      </c>
      <c r="D20" s="73">
        <f>VLOOKUP(A20,'[1]SQL DATA'!$B:$J,9,FALSE)</f>
        <v>7910.02</v>
      </c>
      <c r="E20" s="50">
        <f>VLOOKUP(A20,'[1]SQL DATA'!$B:$J,7,FALSE)</f>
        <v>12386.32</v>
      </c>
      <c r="F20" s="49">
        <f>VLOOKUP(A20,'[1]SQL DATA'!$B:$J,6,FALSE)</f>
        <v>9098.52</v>
      </c>
      <c r="G20" s="73">
        <v>8500</v>
      </c>
      <c r="H20" s="73">
        <v>9460</v>
      </c>
    </row>
    <row r="21" spans="1:8" x14ac:dyDescent="0.2">
      <c r="A21" s="1" t="s">
        <v>356</v>
      </c>
      <c r="B21" s="1" t="str">
        <f>VLOOKUP(A21,'[1]SQL DATA'!$B:$J,3,FALSE)</f>
        <v>H&amp;W - Benefits - Cemetery</v>
      </c>
      <c r="C21" s="20">
        <f>VLOOKUP(A21,'[1]SQL DATA'!$B:$K,10,FALSE)</f>
        <v>1637.51</v>
      </c>
      <c r="D21" s="83">
        <f>VLOOKUP(A21,'[1]SQL DATA'!$B:$J,9,FALSE)</f>
        <v>2166.4</v>
      </c>
      <c r="E21" s="85">
        <f>VLOOKUP(A21,'[1]SQL DATA'!$B:$J,7,FALSE)</f>
        <v>3220.44</v>
      </c>
      <c r="F21" s="84">
        <f>VLOOKUP(A21,'[1]SQL DATA'!$B:$J,6,FALSE)</f>
        <v>1422.52</v>
      </c>
      <c r="G21" s="73">
        <v>1660</v>
      </c>
      <c r="H21" s="73">
        <v>2340</v>
      </c>
    </row>
    <row r="22" spans="1:8" x14ac:dyDescent="0.2">
      <c r="A22" s="9" t="s">
        <v>58</v>
      </c>
      <c r="B22" s="72"/>
      <c r="C22" s="30">
        <f>SUM(C20:C21)</f>
        <v>9725.67</v>
      </c>
      <c r="D22" s="30">
        <f>SUM(D20:D21)</f>
        <v>10076.42</v>
      </c>
      <c r="E22" s="19">
        <f>SUM(E20:E21)</f>
        <v>15606.76</v>
      </c>
      <c r="F22" s="18">
        <f>SUM(F20:F21)</f>
        <v>10521.04</v>
      </c>
      <c r="G22" s="30">
        <f t="shared" ref="G22:H22" si="3">SUM(G20:G21)</f>
        <v>10160</v>
      </c>
      <c r="H22" s="30">
        <f t="shared" si="3"/>
        <v>11800</v>
      </c>
    </row>
    <row r="23" spans="1:8" x14ac:dyDescent="0.2">
      <c r="A23" s="9"/>
      <c r="B23" s="81"/>
      <c r="C23" s="81"/>
      <c r="D23" s="73"/>
      <c r="E23" s="50"/>
      <c r="F23" s="49"/>
      <c r="G23" s="73"/>
      <c r="H23" s="73"/>
    </row>
    <row r="24" spans="1:8" x14ac:dyDescent="0.2">
      <c r="A24" s="45" t="s">
        <v>59</v>
      </c>
      <c r="D24" s="73"/>
      <c r="E24" s="50"/>
      <c r="F24" s="49"/>
      <c r="G24" s="73"/>
      <c r="H24" s="73"/>
    </row>
    <row r="25" spans="1:8" x14ac:dyDescent="0.2">
      <c r="A25" s="1" t="s">
        <v>357</v>
      </c>
      <c r="B25" s="1" t="str">
        <f>VLOOKUP(A25,'[1]SQL DATA'!$B:$J,3,FALSE)</f>
        <v>H&amp;W - Cont. - Cemetery Maint.</v>
      </c>
      <c r="C25" s="20">
        <f>VLOOKUP(A25,'[1]SQL DATA'!$B:$K,10,FALSE)</f>
        <v>11202</v>
      </c>
      <c r="D25" s="83">
        <f>VLOOKUP(A25,'[1]SQL DATA'!$B:$J,9,FALSE)</f>
        <v>2568.29</v>
      </c>
      <c r="E25" s="85">
        <f>VLOOKUP(A25,'[1]SQL DATA'!$B:$J,7,FALSE)</f>
        <v>2946.74</v>
      </c>
      <c r="F25" s="84">
        <f>VLOOKUP(A25,'[1]SQL DATA'!$B:$J,6,FALSE)</f>
        <v>623.54</v>
      </c>
      <c r="G25" s="73">
        <v>5000</v>
      </c>
      <c r="H25" s="73">
        <v>10000</v>
      </c>
    </row>
    <row r="26" spans="1:8" x14ac:dyDescent="0.2">
      <c r="A26" s="9" t="s">
        <v>66</v>
      </c>
      <c r="B26" s="72"/>
      <c r="C26" s="30">
        <f>SUM(C25:C25)</f>
        <v>11202</v>
      </c>
      <c r="D26" s="30">
        <f>SUM(D25:D25)</f>
        <v>2568.29</v>
      </c>
      <c r="E26" s="19">
        <f>SUM(E25:E25)</f>
        <v>2946.74</v>
      </c>
      <c r="F26" s="18">
        <f>SUM(F25:F25)</f>
        <v>623.54</v>
      </c>
      <c r="G26" s="30">
        <f t="shared" ref="G26:H26" si="4">SUM(G25:G25)</f>
        <v>5000</v>
      </c>
      <c r="H26" s="30">
        <f t="shared" si="4"/>
        <v>10000</v>
      </c>
    </row>
    <row r="27" spans="1:8" x14ac:dyDescent="0.2">
      <c r="A27" s="9"/>
      <c r="B27" s="81"/>
      <c r="C27" s="81"/>
      <c r="D27" s="73"/>
      <c r="E27" s="50"/>
      <c r="F27" s="49"/>
      <c r="G27" s="73"/>
      <c r="H27" s="73"/>
    </row>
    <row r="28" spans="1:8" x14ac:dyDescent="0.2">
      <c r="A28" s="1" t="s">
        <v>358</v>
      </c>
      <c r="B28" s="1" t="str">
        <f>VLOOKUP(A28,'[1]SQL DATA'!$B:$J,3,FALSE)</f>
        <v>Transfer to Reserves - Cemetery</v>
      </c>
      <c r="C28" s="20">
        <f>VLOOKUP(A28,'[1]SQL DATA'!$B:$K,10,FALSE)</f>
        <v>2100</v>
      </c>
      <c r="D28" s="73">
        <f>VLOOKUP(A28,'[1]SQL DATA'!$B:$J,9,FALSE)</f>
        <v>400</v>
      </c>
      <c r="E28" s="50">
        <f>VLOOKUP(A28,'[1]SQL DATA'!$B:$J,7,FALSE)</f>
        <v>7175</v>
      </c>
      <c r="F28" s="49">
        <f>VLOOKUP(A28,'[1]SQL DATA'!$B:$J,6,FALSE)</f>
        <v>0</v>
      </c>
      <c r="G28" s="73">
        <v>0</v>
      </c>
      <c r="H28" s="73">
        <v>0</v>
      </c>
    </row>
    <row r="29" spans="1:8" x14ac:dyDescent="0.2">
      <c r="A29" s="9"/>
      <c r="B29" s="81"/>
      <c r="C29" s="81"/>
      <c r="D29" s="73"/>
      <c r="E29" s="50"/>
      <c r="F29" s="49"/>
      <c r="G29" s="73"/>
      <c r="H29" s="73"/>
    </row>
    <row r="30" spans="1:8" x14ac:dyDescent="0.2">
      <c r="A30" s="34" t="s">
        <v>21</v>
      </c>
      <c r="B30" s="72"/>
      <c r="C30" s="30">
        <f>C22+C26+C28</f>
        <v>23027.67</v>
      </c>
      <c r="D30" s="30">
        <f>D22+D26+D28</f>
        <v>13044.71</v>
      </c>
      <c r="E30" s="19">
        <f t="shared" ref="E30:H30" si="5">E22+E26+E28</f>
        <v>25728.5</v>
      </c>
      <c r="F30" s="18">
        <f t="shared" si="5"/>
        <v>11144.580000000002</v>
      </c>
      <c r="G30" s="30">
        <f t="shared" si="5"/>
        <v>15160</v>
      </c>
      <c r="H30" s="30">
        <f t="shared" si="5"/>
        <v>21800</v>
      </c>
    </row>
    <row r="31" spans="1:8" x14ac:dyDescent="0.2">
      <c r="A31" s="34" t="s">
        <v>8</v>
      </c>
      <c r="C31" s="20"/>
      <c r="D31" s="20"/>
      <c r="E31" s="16"/>
      <c r="F31" s="15"/>
      <c r="G31" s="73"/>
      <c r="H31" s="73"/>
    </row>
    <row r="32" spans="1:8" ht="13.5" thickBot="1" x14ac:dyDescent="0.25">
      <c r="A32" s="34" t="s">
        <v>22</v>
      </c>
      <c r="B32" s="72"/>
      <c r="C32" s="69">
        <f>(C16)-C30</f>
        <v>-3077.6699999999983</v>
      </c>
      <c r="D32" s="69">
        <f>(D16)-D30</f>
        <v>2005.2900000000009</v>
      </c>
      <c r="E32" s="70">
        <f t="shared" ref="E32:H32" si="6">(E16)-E30</f>
        <v>-9116</v>
      </c>
      <c r="F32" s="69">
        <f t="shared" si="6"/>
        <v>-7879.5800000000017</v>
      </c>
      <c r="G32" s="69">
        <f t="shared" si="6"/>
        <v>-6660</v>
      </c>
      <c r="H32" s="69">
        <f t="shared" si="6"/>
        <v>-14370</v>
      </c>
    </row>
    <row r="33" spans="1:1" ht="13.5" thickTop="1" x14ac:dyDescent="0.2">
      <c r="A33" s="1" t="s">
        <v>8</v>
      </c>
    </row>
  </sheetData>
  <pageMargins left="0.74803149606299213" right="0.74803149606299213" top="0.74803149606299213" bottom="0.74803149606299213" header="3.937007874015748E-2" footer="3.937007874015748E-2"/>
  <pageSetup pageOrder="overThenDown" orientation="portrait" r:id="rId1"/>
  <headerFooter>
    <oddHeader xml:space="preserve">&amp;CTOWN OF SHELLBROOK
Cemetery
</oddHeader>
    <oddFooter>&amp;L&amp;P of &amp;N &amp;C&amp;R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7C113-E2FF-4013-AA2E-B3F3A1E39D16}">
  <dimension ref="A1:J37"/>
  <sheetViews>
    <sheetView topLeftCell="A25" zoomScale="150" zoomScaleNormal="150" zoomScalePageLayoutView="90" workbookViewId="0">
      <selection activeCell="G9" sqref="G9"/>
    </sheetView>
  </sheetViews>
  <sheetFormatPr defaultColWidth="8.85546875" defaultRowHeight="12.75" x14ac:dyDescent="0.2"/>
  <cols>
    <col min="1" max="1" width="13.85546875" style="1" customWidth="1"/>
    <col min="2" max="2" width="23.7109375" style="82" customWidth="1"/>
    <col min="3" max="5" width="8.5703125" style="82" bestFit="1" customWidth="1"/>
    <col min="6" max="6" width="7.5703125" style="82" bestFit="1" customWidth="1"/>
    <col min="7" max="8" width="8.5703125" style="82" bestFit="1" customWidth="1"/>
    <col min="9" max="9" width="12.140625" style="1" bestFit="1" customWidth="1"/>
    <col min="10" max="16384" width="8.85546875" style="1"/>
  </cols>
  <sheetData>
    <row r="1" spans="1:10" x14ac:dyDescent="0.2">
      <c r="C1" s="2">
        <v>2019</v>
      </c>
      <c r="D1" s="2">
        <v>2020</v>
      </c>
      <c r="E1" s="3">
        <v>2021</v>
      </c>
      <c r="F1" s="2">
        <v>2022</v>
      </c>
      <c r="G1" s="2">
        <v>2021</v>
      </c>
      <c r="H1" s="2">
        <v>2022</v>
      </c>
    </row>
    <row r="2" spans="1:10" x14ac:dyDescent="0.2">
      <c r="C2" s="4" t="s">
        <v>0</v>
      </c>
      <c r="D2" s="5" t="s">
        <v>0</v>
      </c>
      <c r="E2" s="6" t="s">
        <v>0</v>
      </c>
      <c r="F2" s="5" t="s">
        <v>0</v>
      </c>
      <c r="G2" s="5" t="s">
        <v>1</v>
      </c>
      <c r="H2" s="5" t="s">
        <v>1</v>
      </c>
    </row>
    <row r="3" spans="1:10" x14ac:dyDescent="0.2">
      <c r="A3" s="7" t="s">
        <v>2</v>
      </c>
      <c r="E3" s="185"/>
    </row>
    <row r="4" spans="1:10" x14ac:dyDescent="0.2">
      <c r="A4" s="1" t="s">
        <v>359</v>
      </c>
      <c r="B4" s="1" t="str">
        <f>VLOOKUP(A4,'[1]SQL DATA'!$B:$J,3,FALSE)</f>
        <v>Transfer from Reserves - Rec &amp; Gar</v>
      </c>
      <c r="C4" s="20">
        <f>VLOOKUP(A4,'[1]SQL DATA'!$B:$K,10,FALSE)</f>
        <v>0</v>
      </c>
      <c r="D4" s="73">
        <f>VLOOKUP(A4,'[1]SQL DATA'!$B:$J,9,FALSE)</f>
        <v>1000</v>
      </c>
      <c r="E4" s="50">
        <f>VLOOKUP(A4,'[1]SQL DATA'!$B:$J,7,FALSE)</f>
        <v>-29</v>
      </c>
      <c r="F4" s="49">
        <f>VLOOKUP(A4,'[1]SQL DATA'!$B:$J,6,FALSE)</f>
        <v>0</v>
      </c>
      <c r="G4" s="73">
        <v>6000</v>
      </c>
      <c r="H4" s="73">
        <v>0</v>
      </c>
    </row>
    <row r="5" spans="1:10" x14ac:dyDescent="0.2">
      <c r="D5" s="73"/>
      <c r="E5" s="50"/>
      <c r="F5" s="49"/>
      <c r="G5" s="73"/>
      <c r="H5" s="73"/>
    </row>
    <row r="6" spans="1:10" x14ac:dyDescent="0.2">
      <c r="A6" s="37" t="s">
        <v>28</v>
      </c>
      <c r="D6" s="73"/>
      <c r="E6" s="50"/>
      <c r="F6" s="49"/>
      <c r="G6" s="73"/>
      <c r="H6" s="73"/>
    </row>
    <row r="7" spans="1:10" x14ac:dyDescent="0.2">
      <c r="A7" s="1" t="s">
        <v>360</v>
      </c>
      <c r="B7" s="1" t="str">
        <f>VLOOKUP(A7,'[1]SQL DATA'!$B:$J,3,FALSE)</f>
        <v>F&amp;C - Landfill Fees</v>
      </c>
      <c r="C7" s="20">
        <f>VLOOKUP(A7,'[1]SQL DATA'!$B:$K,10,FALSE)</f>
        <v>200</v>
      </c>
      <c r="D7" s="73">
        <f>VLOOKUP(A7,'[1]SQL DATA'!$B:$J,9,FALSE)</f>
        <v>75</v>
      </c>
      <c r="E7" s="50">
        <f>VLOOKUP(A7,'[1]SQL DATA'!$B:$J,7,FALSE)</f>
        <v>25</v>
      </c>
      <c r="F7" s="49">
        <f>VLOOKUP(A7,'[1]SQL DATA'!$B:$J,6,FALSE)</f>
        <v>0</v>
      </c>
      <c r="G7" s="73">
        <v>200</v>
      </c>
      <c r="H7" s="73">
        <v>0</v>
      </c>
      <c r="I7" s="24"/>
    </row>
    <row r="8" spans="1:10" x14ac:dyDescent="0.2">
      <c r="A8" s="1" t="s">
        <v>361</v>
      </c>
      <c r="B8" s="1" t="str">
        <f>VLOOKUP(A8,'[1]SQL DATA'!$B:$J,3,FALSE)</f>
        <v>F&amp;C - Waste Collection Fees</v>
      </c>
      <c r="C8" s="20">
        <f>VLOOKUP(A8,'[1]SQL DATA'!$B:$K,10,FALSE)</f>
        <v>108922.14</v>
      </c>
      <c r="D8" s="73">
        <f>VLOOKUP(A8,'[1]SQL DATA'!$B:$J,9,FALSE)</f>
        <v>123099.85</v>
      </c>
      <c r="E8" s="50">
        <f>VLOOKUP(A8,'[1]SQL DATA'!$B:$J,7,FALSE)</f>
        <v>126962.79</v>
      </c>
      <c r="F8" s="49">
        <f>VLOOKUP(A8,'[1]SQL DATA'!$B:$J,6,FALSE)</f>
        <v>38641.39</v>
      </c>
      <c r="G8" s="73">
        <v>125000</v>
      </c>
      <c r="H8" s="73">
        <f>66000*0.1+66000</f>
        <v>72600</v>
      </c>
      <c r="I8" s="24"/>
    </row>
    <row r="9" spans="1:10" x14ac:dyDescent="0.2">
      <c r="A9" s="1" t="s">
        <v>362</v>
      </c>
      <c r="B9" s="1" t="str">
        <f>VLOOKUP(A9,'[1]SQL DATA'!$B:$J,3,FALSE)</f>
        <v>F&amp;C - Recycle Collection Fees</v>
      </c>
      <c r="C9" s="20">
        <f>VLOOKUP(A9,'[1]SQL DATA'!$B:$K,10,FALSE)</f>
        <v>44208.13</v>
      </c>
      <c r="D9" s="73">
        <f>VLOOKUP(A9,'[1]SQL DATA'!$B:$J,9,FALSE)</f>
        <v>54812.6</v>
      </c>
      <c r="E9" s="50">
        <f>VLOOKUP(A9,'[1]SQL DATA'!$B:$J,7,FALSE)</f>
        <v>56446.89</v>
      </c>
      <c r="F9" s="49">
        <f>VLOOKUP(A9,'[1]SQL DATA'!$B:$J,6,FALSE)</f>
        <v>26308.25</v>
      </c>
      <c r="G9" s="73">
        <v>45500</v>
      </c>
      <c r="H9" s="73">
        <f>50000*0.1+50000</f>
        <v>55000</v>
      </c>
      <c r="I9" s="24"/>
    </row>
    <row r="10" spans="1:10" x14ac:dyDescent="0.2">
      <c r="A10" s="1" t="s">
        <v>363</v>
      </c>
      <c r="B10" s="1" t="str">
        <f>VLOOKUP(A10,'[1]SQL DATA'!$B:$J,3,FALSE)</f>
        <v>F&amp;C - MMSW Rebate</v>
      </c>
      <c r="C10" s="20">
        <f>VLOOKUP(A10,'[1]SQL DATA'!$B:$K,10,FALSE)</f>
        <v>2060.36</v>
      </c>
      <c r="D10" s="73">
        <f>VLOOKUP(A10,'[1]SQL DATA'!$B:$J,9,FALSE)</f>
        <v>7849</v>
      </c>
      <c r="E10" s="50">
        <f>VLOOKUP(A10,'[1]SQL DATA'!$B:$J,7,FALSE)</f>
        <v>19135.38</v>
      </c>
      <c r="F10" s="49">
        <f>VLOOKUP(A10,'[1]SQL DATA'!$B:$J,6,FALSE)</f>
        <v>5135.25</v>
      </c>
      <c r="G10" s="73">
        <v>6180</v>
      </c>
      <c r="H10" s="73">
        <v>9680</v>
      </c>
      <c r="I10" s="24"/>
    </row>
    <row r="11" spans="1:10" x14ac:dyDescent="0.2">
      <c r="A11" s="1" t="s">
        <v>364</v>
      </c>
      <c r="B11" s="1" t="str">
        <f>VLOOKUP(A11,'[1]SQL DATA'!$B:$J,3,FALSE)</f>
        <v>F&amp;C - Interest Charges - Waste/Recycle</v>
      </c>
      <c r="C11" s="83">
        <f>VLOOKUP(A11,'[1]SQL DATA'!$B:$K,10,FALSE)</f>
        <v>471.47</v>
      </c>
      <c r="D11" s="83">
        <f>VLOOKUP(A11,'[1]SQL DATA'!$B:$J,9,FALSE)</f>
        <v>708.65</v>
      </c>
      <c r="E11" s="85">
        <f>VLOOKUP(A11,'[1]SQL DATA'!$B:$J,7,FALSE)</f>
        <v>821.93</v>
      </c>
      <c r="F11" s="84">
        <f>VLOOKUP(A11,'[1]SQL DATA'!$B:$J,6,FALSE)</f>
        <v>291.48</v>
      </c>
      <c r="G11" s="83">
        <v>500</v>
      </c>
      <c r="H11" s="83">
        <v>500</v>
      </c>
      <c r="I11" s="24"/>
    </row>
    <row r="12" spans="1:10" x14ac:dyDescent="0.2">
      <c r="A12" s="9" t="s">
        <v>42</v>
      </c>
      <c r="C12" s="87">
        <f t="shared" ref="C12:H12" si="0">SUM(C7:C11)</f>
        <v>155862.09999999998</v>
      </c>
      <c r="D12" s="87">
        <f t="shared" si="0"/>
        <v>186545.1</v>
      </c>
      <c r="E12" s="53">
        <f t="shared" si="0"/>
        <v>203391.99</v>
      </c>
      <c r="F12" s="52">
        <f t="shared" si="0"/>
        <v>70376.37</v>
      </c>
      <c r="G12" s="87">
        <f t="shared" si="0"/>
        <v>177380</v>
      </c>
      <c r="H12" s="87">
        <f t="shared" si="0"/>
        <v>137780</v>
      </c>
      <c r="I12" s="24"/>
    </row>
    <row r="13" spans="1:10" x14ac:dyDescent="0.2">
      <c r="A13" s="9"/>
      <c r="C13" s="87"/>
      <c r="D13" s="87"/>
      <c r="E13" s="53"/>
      <c r="F13" s="52"/>
      <c r="G13" s="87"/>
      <c r="H13" s="87"/>
      <c r="I13" s="24"/>
    </row>
    <row r="14" spans="1:10" x14ac:dyDescent="0.2">
      <c r="A14" s="51" t="s">
        <v>7</v>
      </c>
      <c r="C14" s="30">
        <f t="shared" ref="C14:H14" si="1">C4+C12</f>
        <v>155862.09999999998</v>
      </c>
      <c r="D14" s="30">
        <f t="shared" si="1"/>
        <v>187545.1</v>
      </c>
      <c r="E14" s="19">
        <f t="shared" si="1"/>
        <v>203362.99</v>
      </c>
      <c r="F14" s="18">
        <f t="shared" si="1"/>
        <v>70376.37</v>
      </c>
      <c r="G14" s="30">
        <f t="shared" si="1"/>
        <v>183380</v>
      </c>
      <c r="H14" s="30">
        <f t="shared" si="1"/>
        <v>137780</v>
      </c>
      <c r="I14" s="24"/>
      <c r="J14" s="14"/>
    </row>
    <row r="15" spans="1:10" x14ac:dyDescent="0.2">
      <c r="A15" s="51"/>
      <c r="D15" s="87"/>
      <c r="E15" s="53"/>
      <c r="F15" s="52"/>
      <c r="G15" s="87"/>
      <c r="H15" s="87"/>
      <c r="I15" s="24"/>
      <c r="J15" s="14"/>
    </row>
    <row r="16" spans="1:10" x14ac:dyDescent="0.2">
      <c r="A16" s="7" t="s">
        <v>9</v>
      </c>
      <c r="D16" s="73"/>
      <c r="E16" s="50"/>
      <c r="F16" s="49"/>
      <c r="G16" s="73"/>
      <c r="H16" s="73"/>
      <c r="I16" s="24"/>
    </row>
    <row r="17" spans="1:9" x14ac:dyDescent="0.2">
      <c r="A17" s="45" t="s">
        <v>51</v>
      </c>
      <c r="D17" s="73"/>
      <c r="E17" s="50"/>
      <c r="F17" s="49"/>
      <c r="G17" s="73"/>
      <c r="H17" s="73"/>
      <c r="I17" s="24"/>
    </row>
    <row r="18" spans="1:9" x14ac:dyDescent="0.2">
      <c r="A18" s="1" t="s">
        <v>365</v>
      </c>
      <c r="B18" s="1" t="str">
        <f>VLOOKUP(A18,'[1]SQL DATA'!$B:$J,3,FALSE)</f>
        <v>EH - Salaries</v>
      </c>
      <c r="C18" s="20">
        <f>VLOOKUP(A18,'[1]SQL DATA'!$B:$K,10,FALSE)</f>
        <v>0</v>
      </c>
      <c r="D18" s="73">
        <f>VLOOKUP(A18,'[1]SQL DATA'!$B:$J,9,FALSE)</f>
        <v>0</v>
      </c>
      <c r="E18" s="50">
        <f>VLOOKUP(A18,'[1]SQL DATA'!$B:$J,7,FALSE)</f>
        <v>5407.7</v>
      </c>
      <c r="F18" s="49">
        <f>VLOOKUP(A18,'[1]SQL DATA'!$B:$J,6,FALSE)</f>
        <v>3130.08</v>
      </c>
      <c r="G18" s="73">
        <v>6260</v>
      </c>
      <c r="H18" s="73">
        <v>5400</v>
      </c>
      <c r="I18" s="24"/>
    </row>
    <row r="19" spans="1:9" x14ac:dyDescent="0.2">
      <c r="A19" s="1" t="s">
        <v>366</v>
      </c>
      <c r="B19" s="1" t="str">
        <f>VLOOKUP(A19,'[1]SQL DATA'!$B:$J,3,FALSE)</f>
        <v>EH - Benefits</v>
      </c>
      <c r="C19" s="20">
        <f>VLOOKUP(A19,'[1]SQL DATA'!$B:$K,10,FALSE)</f>
        <v>1223.5999999999999</v>
      </c>
      <c r="D19" s="73">
        <f>VLOOKUP(A19,'[1]SQL DATA'!$B:$J,9,FALSE)</f>
        <v>1240.97</v>
      </c>
      <c r="E19" s="50">
        <f>VLOOKUP(A19,'[1]SQL DATA'!$B:$J,7,FALSE)</f>
        <v>1154.5</v>
      </c>
      <c r="F19" s="49">
        <f>VLOOKUP(A19,'[1]SQL DATA'!$B:$J,6,FALSE)</f>
        <v>509.43</v>
      </c>
      <c r="G19" s="73">
        <v>1260</v>
      </c>
      <c r="H19" s="73">
        <v>1190</v>
      </c>
      <c r="I19" s="24"/>
    </row>
    <row r="20" spans="1:9" x14ac:dyDescent="0.2">
      <c r="A20" s="9" t="s">
        <v>58</v>
      </c>
      <c r="C20" s="30">
        <f>SUM(C18:C19)</f>
        <v>1223.5999999999999</v>
      </c>
      <c r="D20" s="30">
        <f>SUM(D18:D19)</f>
        <v>1240.97</v>
      </c>
      <c r="E20" s="19">
        <f>SUM(E18:E19)</f>
        <v>6562.2</v>
      </c>
      <c r="F20" s="18">
        <f>SUM(F18:F19)</f>
        <v>3639.5099999999998</v>
      </c>
      <c r="G20" s="30">
        <f t="shared" ref="G20:H20" si="2">SUM(G18:G19)</f>
        <v>7520</v>
      </c>
      <c r="H20" s="30">
        <f t="shared" si="2"/>
        <v>6590</v>
      </c>
      <c r="I20" s="24"/>
    </row>
    <row r="21" spans="1:9" x14ac:dyDescent="0.2">
      <c r="A21" s="1" t="s">
        <v>8</v>
      </c>
      <c r="D21" s="73"/>
      <c r="E21" s="50"/>
      <c r="F21" s="49"/>
      <c r="G21" s="73"/>
      <c r="H21" s="73"/>
      <c r="I21" s="24"/>
    </row>
    <row r="22" spans="1:9" x14ac:dyDescent="0.2">
      <c r="A22" s="45" t="s">
        <v>59</v>
      </c>
      <c r="D22" s="73"/>
      <c r="E22" s="50"/>
      <c r="F22" s="49"/>
      <c r="G22" s="73"/>
      <c r="H22" s="73"/>
      <c r="I22" s="24"/>
    </row>
    <row r="23" spans="1:9" x14ac:dyDescent="0.2">
      <c r="A23" s="1" t="s">
        <v>367</v>
      </c>
      <c r="B23" s="1" t="str">
        <f>VLOOKUP(A23,'[1]SQL DATA'!$B:$J,3,FALSE)</f>
        <v>EH - Cont. - Waste Collection/Disposal</v>
      </c>
      <c r="C23" s="20">
        <f>VLOOKUP(A23,'[1]SQL DATA'!$B:$K,10,FALSE)</f>
        <v>122483.62</v>
      </c>
      <c r="D23" s="73">
        <f>VLOOKUP(A23,'[1]SQL DATA'!$B:$J,9,FALSE)</f>
        <v>130236.2</v>
      </c>
      <c r="E23" s="50">
        <f>VLOOKUP(A23,'[1]SQL DATA'!$B:$J,7,FALSE)</f>
        <v>139283.96</v>
      </c>
      <c r="F23" s="49">
        <f>VLOOKUP(A23,'[1]SQL DATA'!$B:$J,6,FALSE)</f>
        <v>32656.57</v>
      </c>
      <c r="G23" s="73">
        <v>128710</v>
      </c>
      <c r="H23" s="73">
        <v>66000</v>
      </c>
      <c r="I23" s="24"/>
    </row>
    <row r="24" spans="1:9" x14ac:dyDescent="0.2">
      <c r="A24" s="1" t="s">
        <v>368</v>
      </c>
      <c r="B24" s="1" t="str">
        <f>VLOOKUP(A24,'[1]SQL DATA'!$B:$J,3,FALSE)</f>
        <v>EH - Recycle Collection/Disposal</v>
      </c>
      <c r="C24" s="20">
        <f>VLOOKUP(A24,'[1]SQL DATA'!$B:$K,10,FALSE)</f>
        <v>39900.85</v>
      </c>
      <c r="D24" s="73">
        <f>VLOOKUP(A24,'[1]SQL DATA'!$B:$J,9,FALSE)</f>
        <v>43246.47</v>
      </c>
      <c r="E24" s="50">
        <f>VLOOKUP(A24,'[1]SQL DATA'!$B:$J,7,FALSE)</f>
        <v>46751.58</v>
      </c>
      <c r="F24" s="49">
        <f>VLOOKUP(A24,'[1]SQL DATA'!$B:$J,6,FALSE)</f>
        <v>24995.65</v>
      </c>
      <c r="G24" s="73">
        <v>45500</v>
      </c>
      <c r="H24" s="73">
        <v>50000</v>
      </c>
      <c r="I24" s="24"/>
    </row>
    <row r="25" spans="1:9" x14ac:dyDescent="0.2">
      <c r="A25" s="9" t="s">
        <v>66</v>
      </c>
      <c r="C25" s="30">
        <f>SUM(C23:C24)</f>
        <v>162384.47</v>
      </c>
      <c r="D25" s="30">
        <f>SUM(D23:D24)</f>
        <v>173482.66999999998</v>
      </c>
      <c r="E25" s="19">
        <f>SUM(E23:E24)</f>
        <v>186035.53999999998</v>
      </c>
      <c r="F25" s="18">
        <f>SUM(F23:F24)</f>
        <v>57652.22</v>
      </c>
      <c r="G25" s="30">
        <f t="shared" ref="G25:H25" si="3">SUM(G23:G24)</f>
        <v>174210</v>
      </c>
      <c r="H25" s="30">
        <f t="shared" si="3"/>
        <v>116000</v>
      </c>
      <c r="I25" s="24"/>
    </row>
    <row r="26" spans="1:9" x14ac:dyDescent="0.2">
      <c r="A26" s="1" t="s">
        <v>8</v>
      </c>
      <c r="D26" s="73"/>
      <c r="E26" s="50"/>
      <c r="F26" s="49"/>
      <c r="G26" s="73"/>
      <c r="H26" s="73"/>
      <c r="I26" s="24"/>
    </row>
    <row r="27" spans="1:9" x14ac:dyDescent="0.2">
      <c r="A27" s="45" t="s">
        <v>111</v>
      </c>
      <c r="D27" s="73"/>
      <c r="E27" s="50"/>
      <c r="F27" s="49"/>
      <c r="G27" s="73"/>
      <c r="H27" s="73"/>
      <c r="I27" s="24"/>
    </row>
    <row r="28" spans="1:9" x14ac:dyDescent="0.2">
      <c r="A28" s="1" t="s">
        <v>369</v>
      </c>
      <c r="B28" s="1" t="str">
        <f>VLOOKUP(A28,'[1]SQL DATA'!$B:$J,3,FALSE)</f>
        <v>EH - Cont. - Advert &amp; Promo - Gar/Rec</v>
      </c>
      <c r="C28" s="20">
        <f>VLOOKUP(A28,'[1]SQL DATA'!$B:$K,10,FALSE)</f>
        <v>71.34</v>
      </c>
      <c r="D28" s="73">
        <f>VLOOKUP(A28,'[1]SQL DATA'!$B:$J,9,FALSE)</f>
        <v>1000</v>
      </c>
      <c r="E28" s="50">
        <f>VLOOKUP(A28,'[1]SQL DATA'!$B:$J,7,FALSE)</f>
        <v>0</v>
      </c>
      <c r="F28" s="49">
        <f>VLOOKUP(A28,'[1]SQL DATA'!$B:$J,6,FALSE)</f>
        <v>0</v>
      </c>
      <c r="G28" s="73">
        <v>1000</v>
      </c>
      <c r="H28" s="73">
        <v>0</v>
      </c>
      <c r="I28" s="24"/>
    </row>
    <row r="29" spans="1:9" x14ac:dyDescent="0.2">
      <c r="A29" s="1" t="s">
        <v>370</v>
      </c>
      <c r="B29" s="1" t="str">
        <f>VLOOKUP(A29,'[1]SQL DATA'!$B:$J,3,FALSE)</f>
        <v>EH - Maint. - Small Tools &amp; Equipment</v>
      </c>
      <c r="C29" s="20">
        <f>VLOOKUP(A29,'[1]SQL DATA'!$B:$K,10,FALSE)</f>
        <v>2.11</v>
      </c>
      <c r="D29" s="73">
        <f>VLOOKUP(A29,'[1]SQL DATA'!$B:$J,9,FALSE)</f>
        <v>45.42</v>
      </c>
      <c r="E29" s="50">
        <f>VLOOKUP(A29,'[1]SQL DATA'!$B:$J,7,FALSE)</f>
        <v>616.91999999999996</v>
      </c>
      <c r="F29" s="49">
        <f>VLOOKUP(A29,'[1]SQL DATA'!$B:$J,6,FALSE)</f>
        <v>253.34</v>
      </c>
      <c r="G29" s="73">
        <v>650</v>
      </c>
      <c r="H29" s="73">
        <v>1000</v>
      </c>
      <c r="I29" s="24"/>
    </row>
    <row r="30" spans="1:9" x14ac:dyDescent="0.2">
      <c r="A30" s="9" t="s">
        <v>85</v>
      </c>
      <c r="C30" s="30">
        <f>SUM(C28:C29)</f>
        <v>73.45</v>
      </c>
      <c r="D30" s="30">
        <f>SUM(D28:D29)</f>
        <v>1045.42</v>
      </c>
      <c r="E30" s="19">
        <f>SUM(E28:E29)</f>
        <v>616.91999999999996</v>
      </c>
      <c r="F30" s="18">
        <f>SUM(F28:F29)</f>
        <v>253.34</v>
      </c>
      <c r="G30" s="30">
        <f t="shared" ref="G30:H30" si="4">SUM(G28:G29)</f>
        <v>1650</v>
      </c>
      <c r="H30" s="30">
        <f t="shared" si="4"/>
        <v>1000</v>
      </c>
      <c r="I30" s="24"/>
    </row>
    <row r="31" spans="1:9" x14ac:dyDescent="0.2">
      <c r="A31" s="45"/>
      <c r="D31" s="73"/>
      <c r="E31" s="50"/>
      <c r="F31" s="49"/>
      <c r="G31" s="73"/>
      <c r="H31" s="73"/>
      <c r="I31" s="24"/>
    </row>
    <row r="32" spans="1:9" x14ac:dyDescent="0.2">
      <c r="A32" s="1" t="s">
        <v>371</v>
      </c>
      <c r="B32" s="1" t="str">
        <f>VLOOKUP(A32,'[1]SQL DATA'!$B:$J,3,FALSE)</f>
        <v>Transfer to Reserves - Gar/Rec</v>
      </c>
      <c r="C32" s="20">
        <f>VLOOKUP(A32,'[1]SQL DATA'!$B:$K,10,FALSE)</f>
        <v>0</v>
      </c>
      <c r="D32" s="73">
        <f>VLOOKUP(A32,'[1]SQL DATA'!$B:$J,9,FALSE)</f>
        <v>5764.45</v>
      </c>
      <c r="E32" s="50">
        <f>VLOOKUP(A32,'[1]SQL DATA'!$B:$J,7,FALSE)</f>
        <v>0</v>
      </c>
      <c r="F32" s="49">
        <f>VLOOKUP(A32,'[1]SQL DATA'!$B:$J,6,FALSE)</f>
        <v>0</v>
      </c>
      <c r="G32" s="73">
        <v>0</v>
      </c>
      <c r="H32" s="73">
        <v>0</v>
      </c>
      <c r="I32" s="24"/>
    </row>
    <row r="33" spans="1:9" x14ac:dyDescent="0.2">
      <c r="A33" s="9"/>
      <c r="D33" s="73"/>
      <c r="E33" s="50"/>
      <c r="F33" s="49"/>
      <c r="G33" s="73"/>
      <c r="H33" s="73"/>
      <c r="I33" s="24"/>
    </row>
    <row r="34" spans="1:9" x14ac:dyDescent="0.2">
      <c r="A34" s="34" t="s">
        <v>21</v>
      </c>
      <c r="C34" s="30">
        <f>C20+C25+C30+C32</f>
        <v>163681.52000000002</v>
      </c>
      <c r="D34" s="30">
        <f>D20+D25+D30+D32</f>
        <v>181533.51</v>
      </c>
      <c r="E34" s="19">
        <f>E20+E25+E30+E32</f>
        <v>193214.66</v>
      </c>
      <c r="F34" s="18">
        <f>F20+F25+F30+F32</f>
        <v>61545.07</v>
      </c>
      <c r="G34" s="30">
        <f t="shared" ref="G34:H34" si="5">G20+G25+G30+G32</f>
        <v>183380</v>
      </c>
      <c r="H34" s="30">
        <f t="shared" si="5"/>
        <v>123590</v>
      </c>
      <c r="I34" s="24"/>
    </row>
    <row r="35" spans="1:9" x14ac:dyDescent="0.2">
      <c r="A35" s="34" t="s">
        <v>8</v>
      </c>
      <c r="C35" s="73"/>
      <c r="D35" s="73"/>
      <c r="E35" s="50"/>
      <c r="F35" s="49"/>
      <c r="G35" s="73"/>
      <c r="H35" s="73"/>
      <c r="I35" s="24"/>
    </row>
    <row r="36" spans="1:9" ht="13.5" thickBot="1" x14ac:dyDescent="0.25">
      <c r="A36" s="34" t="s">
        <v>22</v>
      </c>
      <c r="C36" s="69">
        <f>(C14)-C34</f>
        <v>-7819.4200000000419</v>
      </c>
      <c r="D36" s="69">
        <f>(D14)-D34</f>
        <v>6011.5899999999965</v>
      </c>
      <c r="E36" s="70">
        <f t="shared" ref="E36:H36" si="6">(E14)-E34</f>
        <v>10148.329999999987</v>
      </c>
      <c r="F36" s="69">
        <f t="shared" si="6"/>
        <v>8831.2999999999956</v>
      </c>
      <c r="G36" s="69">
        <f t="shared" si="6"/>
        <v>0</v>
      </c>
      <c r="H36" s="69">
        <f t="shared" si="6"/>
        <v>14190</v>
      </c>
      <c r="I36" s="24"/>
    </row>
    <row r="37" spans="1:9" ht="13.5" thickTop="1" x14ac:dyDescent="0.2">
      <c r="A37" s="1" t="s">
        <v>8</v>
      </c>
      <c r="I37" s="24"/>
    </row>
  </sheetData>
  <pageMargins left="0.74803149606299213" right="0.74803149606299213" top="0.57870370370370372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Recycle &amp; Garbage
</oddHeader>
    <oddFooter>&amp;L&amp;P of &amp;N &amp;C&amp;R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EA704-B13E-42B4-8569-3281C6647CC4}">
  <sheetPr>
    <tabColor theme="9" tint="-0.249977111117893"/>
  </sheetPr>
  <dimension ref="A1:K36"/>
  <sheetViews>
    <sheetView zoomScale="150" zoomScaleNormal="150" zoomScalePageLayoutView="175" workbookViewId="0">
      <selection activeCell="G9" sqref="G9"/>
    </sheetView>
  </sheetViews>
  <sheetFormatPr defaultRowHeight="12.75" x14ac:dyDescent="0.2"/>
  <cols>
    <col min="1" max="1" width="23.5703125" style="1" customWidth="1"/>
    <col min="2" max="3" width="10" style="1" bestFit="1" customWidth="1"/>
    <col min="4" max="4" width="10.5703125" style="1" bestFit="1" customWidth="1"/>
    <col min="5" max="5" width="9.5703125" style="1" bestFit="1" customWidth="1"/>
    <col min="6" max="6" width="11.42578125" style="1" customWidth="1"/>
    <col min="7" max="7" width="10.85546875" style="1" customWidth="1"/>
    <col min="8" max="8" width="14.5703125" style="1" bestFit="1" customWidth="1"/>
    <col min="9" max="10" width="9.140625" style="1"/>
    <col min="11" max="11" width="13.85546875" style="24" bestFit="1" customWidth="1"/>
    <col min="12" max="12" width="14.5703125" style="1" bestFit="1" customWidth="1"/>
    <col min="13" max="16384" width="9.140625" style="1"/>
  </cols>
  <sheetData>
    <row r="1" spans="1:8" x14ac:dyDescent="0.2">
      <c r="B1" s="2">
        <v>2019</v>
      </c>
      <c r="C1" s="2">
        <v>2020</v>
      </c>
      <c r="D1" s="3">
        <v>2021</v>
      </c>
      <c r="E1" s="2">
        <v>2022</v>
      </c>
      <c r="F1" s="2">
        <v>2021</v>
      </c>
      <c r="G1" s="2">
        <v>2022</v>
      </c>
    </row>
    <row r="2" spans="1:8" x14ac:dyDescent="0.2">
      <c r="B2" s="4" t="s">
        <v>0</v>
      </c>
      <c r="C2" s="5" t="s">
        <v>0</v>
      </c>
      <c r="D2" s="6" t="s">
        <v>0</v>
      </c>
      <c r="E2" s="5" t="s">
        <v>0</v>
      </c>
      <c r="F2" s="5" t="s">
        <v>1</v>
      </c>
      <c r="G2" s="5" t="s">
        <v>1</v>
      </c>
    </row>
    <row r="3" spans="1:8" x14ac:dyDescent="0.2">
      <c r="A3" s="7" t="s">
        <v>2</v>
      </c>
      <c r="B3" s="7"/>
      <c r="C3" s="7"/>
      <c r="D3" s="8"/>
    </row>
    <row r="4" spans="1:8" x14ac:dyDescent="0.2">
      <c r="A4" s="9" t="s">
        <v>3</v>
      </c>
      <c r="B4" s="10">
        <f>SUM('PW Admin'!C6+'Shop &amp; Yard Maint'!C4+'Street &amp; Storm Sewer'!C6+Transportation!C6+Water!C6+Sewer!C6)</f>
        <v>145329.9</v>
      </c>
      <c r="C4" s="10">
        <f>SUM('PW Admin'!D6+'Shop &amp; Yard Maint'!D4+'Street &amp; Storm Sewer'!D6+Transportation!D6+Water!D6+Sewer!D6)</f>
        <v>108000</v>
      </c>
      <c r="D4" s="12">
        <f>SUM('PW Admin'!E6+'Shop &amp; Yard Maint'!E4+'Street &amp; Storm Sewer'!E6+Transportation!E6+Water!E6+Sewer!E6)</f>
        <v>334102.96999999997</v>
      </c>
      <c r="E4" s="10">
        <f>SUM('PW Admin'!F6+'Shop &amp; Yard Maint'!F4+'Street &amp; Storm Sewer'!F6+Transportation!F6+Water!F6+Sewer!F6)</f>
        <v>0</v>
      </c>
      <c r="F4" s="10">
        <f>SUM('PW Admin'!G6+'Shop &amp; Yard Maint'!G4+'Street &amp; Storm Sewer'!G6+Transportation!G6+Water!G6+Sewer!G6)</f>
        <v>345010</v>
      </c>
      <c r="G4" s="10">
        <f>SUM('PW Admin'!H6+'Shop &amp; Yard Maint'!H4+'Street &amp; Storm Sewer'!H6+Transportation!H6+Water!H6+Sewer!H6)</f>
        <v>708560</v>
      </c>
    </row>
    <row r="5" spans="1:8" ht="15" x14ac:dyDescent="0.2">
      <c r="A5" s="9" t="s">
        <v>4</v>
      </c>
      <c r="B5" s="11">
        <f>SUM('PW Admin'!C12+Mowing!C6+Transportation!C10+Water!C15+Sewer!C12)</f>
        <v>750814.61</v>
      </c>
      <c r="C5" s="11">
        <f>SUM('PW Admin'!D12+Mowing!D6+Transportation!D10+Water!D15+Sewer!D12)</f>
        <v>779145.19000000006</v>
      </c>
      <c r="D5" s="12">
        <f>SUM('PW Admin'!E12+Mowing!E6+Transportation!E10+Water!E15+Sewer!E12)</f>
        <v>796873.51</v>
      </c>
      <c r="E5" s="11">
        <f>SUM('PW Admin'!F12+Mowing!F6+Transportation!F10+Water!F15+Sewer!F12)</f>
        <v>469698.52999999997</v>
      </c>
      <c r="F5" s="11">
        <f>SUM('PW Admin'!G12+Mowing!G6+Transportation!G10+Water!G15+Sewer!G12)</f>
        <v>791720</v>
      </c>
      <c r="G5" s="11">
        <f>SUM('PW Admin'!H12+Mowing!H6+Transportation!H10+Water!H15+Sewer!H12)</f>
        <v>808170</v>
      </c>
      <c r="H5" s="14"/>
    </row>
    <row r="6" spans="1:8" ht="15" x14ac:dyDescent="0.2">
      <c r="A6" s="9" t="s">
        <v>6</v>
      </c>
      <c r="B6" s="11">
        <f>SUM(Water!C19)</f>
        <v>0</v>
      </c>
      <c r="C6" s="11">
        <f>SUM(Water!D19)</f>
        <v>48878.19</v>
      </c>
      <c r="D6" s="13">
        <f>SUM(Water!E19)</f>
        <v>158665.81</v>
      </c>
      <c r="E6" s="11">
        <f>SUM(Water!F19)</f>
        <v>0</v>
      </c>
      <c r="F6" s="11">
        <f>SUM(Water!G19)</f>
        <v>0</v>
      </c>
      <c r="G6" s="11">
        <f>SUM(Water!H19)</f>
        <v>0</v>
      </c>
      <c r="H6" s="14"/>
    </row>
    <row r="7" spans="1:8" x14ac:dyDescent="0.2">
      <c r="A7" s="17" t="s">
        <v>7</v>
      </c>
      <c r="B7" s="18">
        <f t="shared" ref="B7:F7" si="0">SUM(B4:B6)</f>
        <v>896144.51</v>
      </c>
      <c r="C7" s="18">
        <f t="shared" si="0"/>
        <v>936023.38000000012</v>
      </c>
      <c r="D7" s="19">
        <f t="shared" si="0"/>
        <v>1289642.29</v>
      </c>
      <c r="E7" s="18">
        <f t="shared" si="0"/>
        <v>469698.52999999997</v>
      </c>
      <c r="F7" s="18">
        <f t="shared" si="0"/>
        <v>1136730</v>
      </c>
      <c r="G7" s="18">
        <f>SUM(G4:G6)</f>
        <v>1516730</v>
      </c>
      <c r="H7" s="14"/>
    </row>
    <row r="8" spans="1:8" x14ac:dyDescent="0.2">
      <c r="A8" s="1" t="s">
        <v>8</v>
      </c>
      <c r="C8" s="20"/>
      <c r="D8" s="16"/>
      <c r="E8" s="15"/>
      <c r="F8" s="15"/>
      <c r="G8" s="20"/>
      <c r="H8" s="21"/>
    </row>
    <row r="9" spans="1:8" x14ac:dyDescent="0.2">
      <c r="A9" s="7" t="s">
        <v>9</v>
      </c>
      <c r="B9" s="7"/>
      <c r="C9" s="22"/>
      <c r="D9" s="16"/>
      <c r="E9" s="15"/>
      <c r="F9" s="15"/>
      <c r="G9" s="20"/>
    </row>
    <row r="10" spans="1:8" ht="15" x14ac:dyDescent="0.2">
      <c r="A10" s="9" t="s">
        <v>10</v>
      </c>
      <c r="B10" s="11">
        <f>SUM('PW Admin'!C24+'Shop &amp; Yard Maint'!C11+'Street &amp; Storm Sewer'!C14+Mowing!C14+Transportation!C18+Water!C31+Sewer!C24)</f>
        <v>157893.04999999999</v>
      </c>
      <c r="C10" s="11">
        <f>SUM('PW Admin'!D24+'Shop &amp; Yard Maint'!D11+'Street &amp; Storm Sewer'!D14+Mowing!D14+Transportation!D18+Water!D31+Sewer!D24)</f>
        <v>137620.56</v>
      </c>
      <c r="D10" s="13">
        <f>SUM('PW Admin'!E24+'Shop &amp; Yard Maint'!E11+'Street &amp; Storm Sewer'!E14+Mowing!E14+Transportation!E18+Water!E31+Sewer!E24)</f>
        <v>438845.69000000006</v>
      </c>
      <c r="E10" s="11">
        <f>SUM('PW Admin'!F24+'Shop &amp; Yard Maint'!F11+'Street &amp; Storm Sewer'!F14+Mowing!F14+Transportation!F18+Water!F31+Sewer!F24)</f>
        <v>256061.74</v>
      </c>
      <c r="F10" s="11">
        <f>SUM('PW Admin'!G24+'Shop &amp; Yard Maint'!G11+'Street &amp; Storm Sewer'!G14+Mowing!G14+Transportation!G18+Water!G31+Sewer!G24)</f>
        <v>453280</v>
      </c>
      <c r="G10" s="11">
        <f>SUM('PW Admin'!H24+'Shop &amp; Yard Maint'!H11+'Street &amp; Storm Sewer'!H14+Mowing!H14+Transportation!H18+Water!H31+Sewer!H24)</f>
        <v>563969.82160000002</v>
      </c>
      <c r="H10" s="23"/>
    </row>
    <row r="11" spans="1:8" ht="15" x14ac:dyDescent="0.2">
      <c r="A11" s="9" t="s">
        <v>11</v>
      </c>
      <c r="B11" s="11">
        <f>SUM('Street &amp; Storm Sewer'!C18+Mowing!C18+Transportation!C22+Water!C36+Sewer!C28)</f>
        <v>168780.85</v>
      </c>
      <c r="C11" s="11">
        <f>SUM('Street &amp; Storm Sewer'!D18+Mowing!D18+Transportation!D22+Water!D36+Sewer!D28)</f>
        <v>105936</v>
      </c>
      <c r="D11" s="13">
        <f>SUM('Street &amp; Storm Sewer'!E18+Mowing!E18+Transportation!E22+Water!E36+Sewer!E28)</f>
        <v>128024.95000000001</v>
      </c>
      <c r="E11" s="11">
        <f>SUM('Street &amp; Storm Sewer'!F18+Mowing!F18+Transportation!F22+Water!F36+Sewer!F28)</f>
        <v>53546.429999999993</v>
      </c>
      <c r="F11" s="11">
        <f>SUM('Street &amp; Storm Sewer'!G18+Mowing!G18+Transportation!G22+Water!G36+Sewer!G28)</f>
        <v>170830</v>
      </c>
      <c r="G11" s="11">
        <f>SUM('Street &amp; Storm Sewer'!H18+Mowing!H18+Transportation!H22+Water!H36+Sewer!H28)</f>
        <v>205830</v>
      </c>
      <c r="H11" s="14"/>
    </row>
    <row r="12" spans="1:8" ht="15" x14ac:dyDescent="0.2">
      <c r="A12" s="9" t="s">
        <v>12</v>
      </c>
      <c r="B12" s="11">
        <f>SUM('PW Admin'!C30+'Street &amp; Storm Sewer'!C22+Water!C42+Sewer!C34)</f>
        <v>107086.55</v>
      </c>
      <c r="C12" s="11">
        <f>SUM('PW Admin'!D30+'Street &amp; Storm Sewer'!D22+Water!D42+Sewer!D34)</f>
        <v>113823.4</v>
      </c>
      <c r="D12" s="13">
        <f>SUM('PW Admin'!E30+'Street &amp; Storm Sewer'!E22+Water!E42+Sewer!E34)</f>
        <v>144043.62</v>
      </c>
      <c r="E12" s="11">
        <f>SUM('PW Admin'!F30+'Street &amp; Storm Sewer'!F22+Water!F42+Sewer!F34)</f>
        <v>96100.23</v>
      </c>
      <c r="F12" s="11">
        <f>SUM('PW Admin'!G30+'Street &amp; Storm Sewer'!G22+Water!G42+Sewer!G34)</f>
        <v>156190</v>
      </c>
      <c r="G12" s="11">
        <f>SUM('PW Admin'!H30+'Street &amp; Storm Sewer'!H22+Water!H42+Sewer!H34)</f>
        <v>152830</v>
      </c>
    </row>
    <row r="13" spans="1:8" ht="15" x14ac:dyDescent="0.2">
      <c r="A13" s="9" t="s">
        <v>13</v>
      </c>
      <c r="B13" s="11">
        <f>SUM('PW Admin'!C40+'Shop &amp; Yard Maint'!C17+'Street &amp; Storm Sewer'!C30+Mowing!C23+Transportation!C30+Water!C54+Sewer!C43)</f>
        <v>359948.59</v>
      </c>
      <c r="C13" s="11">
        <f>SUM('PW Admin'!D40+'Shop &amp; Yard Maint'!D17+'Street &amp; Storm Sewer'!D30+Mowing!D23+Transportation!D30+Water!D54+Sewer!D43)</f>
        <v>372776.18999999994</v>
      </c>
      <c r="D13" s="13">
        <f>SUM('PW Admin'!E40+'Shop &amp; Yard Maint'!E17+'Street &amp; Storm Sewer'!E30+Mowing!E23+Transportation!E30+Water!E54+Sewer!E43)</f>
        <v>417909.81</v>
      </c>
      <c r="E13" s="11">
        <f>SUM('PW Admin'!F40+'Shop &amp; Yard Maint'!F17+'Street &amp; Storm Sewer'!F30+Mowing!F23+Transportation!F30+Water!F54+Sewer!F43)</f>
        <v>277846.81000000006</v>
      </c>
      <c r="F13" s="11">
        <f>SUM('PW Admin'!G40+'Shop &amp; Yard Maint'!G14+'Street &amp; Storm Sewer'!G30+Mowing!G23+Transportation!G30+Water!G54+Sewer!G43)</f>
        <v>401690</v>
      </c>
      <c r="G13" s="11">
        <f>SUM('PW Admin'!H40+'Shop &amp; Yard Maint'!H14+'Street &amp; Storm Sewer'!H30+Mowing!H23+Transportation!H30+Water!H54+Sewer!H43)</f>
        <v>475520</v>
      </c>
      <c r="H13" s="14"/>
    </row>
    <row r="14" spans="1:8" ht="15" x14ac:dyDescent="0.2">
      <c r="A14" s="9" t="s">
        <v>15</v>
      </c>
      <c r="B14" s="11">
        <f>SUM('Street &amp; Storm Sewer'!C33+Water!C57+Sewer!C46)</f>
        <v>341863.36</v>
      </c>
      <c r="C14" s="11">
        <f>SUM('Street &amp; Storm Sewer'!D33+Water!D57+Sewer!D46)</f>
        <v>384471.95</v>
      </c>
      <c r="D14" s="13">
        <f>SUM('Street &amp; Storm Sewer'!E33+Water!E57+Sewer!E46)</f>
        <v>392084.47999999998</v>
      </c>
      <c r="E14" s="11">
        <f>SUM('Street &amp; Storm Sewer'!F33+Water!F57+Sewer!F46)</f>
        <v>0</v>
      </c>
      <c r="F14" s="11">
        <f>SUM('Street &amp; Storm Sewer'!G33+Water!G57+Sewer!G46)</f>
        <v>0</v>
      </c>
      <c r="G14" s="11">
        <f>SUM('Street &amp; Storm Sewer'!H34+Water!H58+Sewer!H47)</f>
        <v>0</v>
      </c>
    </row>
    <row r="15" spans="1:8" ht="15" x14ac:dyDescent="0.2">
      <c r="A15" s="9" t="s">
        <v>16</v>
      </c>
      <c r="B15" s="11">
        <f>SUM(Transportation!C33+Sewer!C50)</f>
        <v>72249.259999999995</v>
      </c>
      <c r="C15" s="11">
        <f>SUM(Transportation!D33+Sewer!D50)</f>
        <v>48169.3</v>
      </c>
      <c r="D15" s="13">
        <f>SUM(Transportation!E33+Sewer!E50)</f>
        <v>37408.79</v>
      </c>
      <c r="E15" s="11">
        <f>SUM(Transportation!F33+Sewer!F50)</f>
        <v>263261.63</v>
      </c>
      <c r="F15" s="11">
        <f>SUM(Transportation!G33+Sewer!G51)</f>
        <v>46010</v>
      </c>
      <c r="G15" s="11">
        <f>SUM(Transportation!H34+Sewer!H50)</f>
        <v>134500</v>
      </c>
    </row>
    <row r="16" spans="1:8" ht="15" x14ac:dyDescent="0.2">
      <c r="A16" s="9" t="s">
        <v>17</v>
      </c>
      <c r="B16" s="11">
        <f>SUM('PW Admin'!C44+Water!C63)</f>
        <v>0</v>
      </c>
      <c r="C16" s="11">
        <f>SUM('PW Admin'!D44+Water!D63)</f>
        <v>0</v>
      </c>
      <c r="D16" s="13">
        <f>SUM('PW Admin'!E44+Water!E63)</f>
        <v>0</v>
      </c>
      <c r="E16" s="11">
        <f>SUM('PW Admin'!F44+Water!F63)</f>
        <v>0</v>
      </c>
      <c r="F16" s="11">
        <f>SUM('PW Admin'!G44+Water!G63)</f>
        <v>1300</v>
      </c>
      <c r="G16" s="11">
        <f>SUM('PW Admin'!H44+Water!H63)</f>
        <v>1300</v>
      </c>
      <c r="H16" s="14"/>
    </row>
    <row r="17" spans="1:8" ht="15" x14ac:dyDescent="0.2">
      <c r="A17" s="9" t="s">
        <v>18</v>
      </c>
      <c r="B17" s="11">
        <f>SUM(Sewer!C55)</f>
        <v>0</v>
      </c>
      <c r="C17" s="11">
        <f>SUM(Sewer!D55)</f>
        <v>0</v>
      </c>
      <c r="D17" s="13">
        <f>SUM(Sewer!E55)</f>
        <v>0</v>
      </c>
      <c r="E17" s="11">
        <f>SUM(Sewer!F55)</f>
        <v>0</v>
      </c>
      <c r="F17" s="11">
        <f>SUM(Sewer!G55)</f>
        <v>218270</v>
      </c>
      <c r="G17" s="11">
        <f>SUM(Sewer!H55)</f>
        <v>303160</v>
      </c>
      <c r="H17" s="14"/>
    </row>
    <row r="18" spans="1:8" x14ac:dyDescent="0.2">
      <c r="A18" s="9" t="s">
        <v>19</v>
      </c>
      <c r="B18" s="25">
        <f>SUM('Shop &amp; Yard Maint'!C15+'Street &amp; Storm Sewer'!C38+Transportation!C37+Water!C65+Sewer!C54)</f>
        <v>0</v>
      </c>
      <c r="C18" s="25">
        <f>SUM('Shop &amp; Yard Maint'!D15+'Street &amp; Storm Sewer'!D38+Transportation!D37+Water!D65+Sewer!D54)</f>
        <v>0</v>
      </c>
      <c r="D18" s="26">
        <f>SUM('Shop &amp; Yard Maint'!E15+'Street &amp; Storm Sewer'!E38+Transportation!E37+Water!E65+Sewer!E54)</f>
        <v>0</v>
      </c>
      <c r="E18" s="25">
        <f>SUM('Shop &amp; Yard Maint'!F15+'Street &amp; Storm Sewer'!F38+Transportation!F37+Water!F65+Sewer!F54)</f>
        <v>408671.08</v>
      </c>
      <c r="F18" s="25">
        <f>SUM('Shop &amp; Yard Maint'!G15+'Street &amp; Storm Sewer'!G38+Transportation!G37+Water!G65+Sewer!G54)</f>
        <v>251900</v>
      </c>
      <c r="G18" s="25">
        <f>SUM('Shop &amp; Yard Maint'!H15+'Street &amp; Storm Sewer'!H38+Transportation!H37+Water!H65+Sewer!H54)</f>
        <v>530000</v>
      </c>
    </row>
    <row r="19" spans="1:8" x14ac:dyDescent="0.2">
      <c r="A19" s="28" t="s">
        <v>20</v>
      </c>
      <c r="B19" s="29">
        <f>SUM('PW Admin'!C46+'Shop &amp; Yard Maint'!C16+'Street &amp; Storm Sewer'!C39+Transportation!C38+Water!C66+Sewer!C56)</f>
        <v>217505.63</v>
      </c>
      <c r="C19" s="29">
        <f>SUM('PW Admin'!D46+'Shop &amp; Yard Maint'!D16+'Street &amp; Storm Sewer'!D39+Transportation!D38+Water!D66+Sewer!D56)</f>
        <v>735433.48</v>
      </c>
      <c r="D19" s="29">
        <f>SUM('PW Admin'!E46+'Shop &amp; Yard Maint'!E16+'Street &amp; Storm Sewer'!E39+Transportation!E38+Water!E66+Sewer!E56)</f>
        <v>345757.08</v>
      </c>
      <c r="E19" s="29">
        <f>SUM('PW Admin'!F46+'Shop &amp; Yard Maint'!F16+'Street &amp; Storm Sewer'!F39+Transportation!F38+Water!F66+Sewer!F56)</f>
        <v>0</v>
      </c>
      <c r="F19" s="29">
        <f>SUM('PW Admin'!G46+'Shop &amp; Yard Maint'!G16+'Street &amp; Storm Sewer'!G39+Transportation!G38+Water!G66+Sewer!G56)</f>
        <v>340000</v>
      </c>
      <c r="G19" s="29">
        <f>SUM('PW Admin'!H46+'Shop &amp; Yard Maint'!H16+'Street &amp; Storm Sewer'!H39+Transportation!H38+Water!H66+Sewer!H56)</f>
        <v>65000</v>
      </c>
    </row>
    <row r="20" spans="1:8" x14ac:dyDescent="0.2">
      <c r="A20" s="17" t="s">
        <v>21</v>
      </c>
      <c r="B20" s="30">
        <f t="shared" ref="B20:F20" si="1">SUM(B10:B19)</f>
        <v>1425327.29</v>
      </c>
      <c r="C20" s="30">
        <f t="shared" si="1"/>
        <v>1898230.88</v>
      </c>
      <c r="D20" s="19">
        <f t="shared" si="1"/>
        <v>1904074.4200000002</v>
      </c>
      <c r="E20" s="18">
        <f t="shared" si="1"/>
        <v>1355487.92</v>
      </c>
      <c r="F20" s="18">
        <f t="shared" si="1"/>
        <v>2039470</v>
      </c>
      <c r="G20" s="30">
        <f>SUM(G10:G19)</f>
        <v>2432109.8215999999</v>
      </c>
    </row>
    <row r="21" spans="1:8" x14ac:dyDescent="0.2">
      <c r="A21" s="1" t="s">
        <v>8</v>
      </c>
      <c r="C21" s="20"/>
      <c r="D21" s="16"/>
      <c r="E21" s="15"/>
      <c r="F21" s="20"/>
      <c r="G21" s="20"/>
    </row>
    <row r="22" spans="1:8" x14ac:dyDescent="0.2">
      <c r="A22" s="17" t="s">
        <v>22</v>
      </c>
      <c r="B22" s="30">
        <f t="shared" ref="B22:G22" si="2">B7-B20</f>
        <v>-529182.78</v>
      </c>
      <c r="C22" s="30">
        <f t="shared" si="2"/>
        <v>-962207.49999999977</v>
      </c>
      <c r="D22" s="19">
        <f t="shared" si="2"/>
        <v>-614432.13000000012</v>
      </c>
      <c r="E22" s="18">
        <f t="shared" si="2"/>
        <v>-885789.3899999999</v>
      </c>
      <c r="F22" s="30">
        <f t="shared" si="2"/>
        <v>-902740</v>
      </c>
      <c r="G22" s="30">
        <f t="shared" si="2"/>
        <v>-915379.82159999991</v>
      </c>
    </row>
    <row r="23" spans="1:8" x14ac:dyDescent="0.2">
      <c r="A23" s="1" t="s">
        <v>8</v>
      </c>
      <c r="C23" s="20"/>
      <c r="D23" s="20"/>
      <c r="E23" s="20"/>
      <c r="F23" s="20"/>
      <c r="G23" s="20"/>
    </row>
    <row r="24" spans="1:8" x14ac:dyDescent="0.2">
      <c r="A24" s="1" t="s">
        <v>8</v>
      </c>
      <c r="F24" s="24"/>
    </row>
    <row r="25" spans="1:8" x14ac:dyDescent="0.2">
      <c r="A25" s="1" t="s">
        <v>8</v>
      </c>
      <c r="F25" s="14"/>
    </row>
    <row r="26" spans="1:8" x14ac:dyDescent="0.2">
      <c r="A26" s="1" t="s">
        <v>8</v>
      </c>
      <c r="F26" s="21"/>
    </row>
    <row r="28" spans="1:8" x14ac:dyDescent="0.2">
      <c r="A28" s="1" t="s">
        <v>8</v>
      </c>
    </row>
    <row r="29" spans="1:8" x14ac:dyDescent="0.2">
      <c r="F29" s="31"/>
    </row>
    <row r="30" spans="1:8" x14ac:dyDescent="0.2">
      <c r="A30" s="32"/>
    </row>
    <row r="36" spans="11:11" ht="15" x14ac:dyDescent="0.35">
      <c r="K36" s="33"/>
    </row>
  </sheetData>
  <pageMargins left="0.74803149606299213" right="0.74803149606299213" top="0.65625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PW Summary 
</oddHeader>
    <oddFooter>&amp;L&amp;P of &amp;N &amp;C&amp;R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16419-29BB-4E66-918A-67064FE89FAC}">
  <dimension ref="A1:I51"/>
  <sheetViews>
    <sheetView topLeftCell="A7" zoomScale="150" zoomScaleNormal="150" workbookViewId="0">
      <selection activeCell="G9" sqref="G9"/>
    </sheetView>
  </sheetViews>
  <sheetFormatPr defaultColWidth="8.85546875" defaultRowHeight="12.75" x14ac:dyDescent="0.2"/>
  <cols>
    <col min="1" max="1" width="13" style="1" customWidth="1"/>
    <col min="2" max="2" width="23.5703125" style="1" customWidth="1"/>
    <col min="3" max="4" width="8.140625" style="1" bestFit="1" customWidth="1"/>
    <col min="5" max="5" width="9.140625" style="1" bestFit="1" customWidth="1"/>
    <col min="6" max="6" width="8.140625" style="1" bestFit="1" customWidth="1"/>
    <col min="7" max="7" width="9.85546875" style="1" customWidth="1"/>
    <col min="8" max="8" width="9.140625" style="1" bestFit="1" customWidth="1"/>
    <col min="9" max="9" width="10.5703125" style="1" bestFit="1" customWidth="1"/>
    <col min="10" max="16384" width="8.85546875" style="1"/>
  </cols>
  <sheetData>
    <row r="1" spans="1:8" x14ac:dyDescent="0.2">
      <c r="B1" s="71"/>
      <c r="C1" s="2">
        <v>2019</v>
      </c>
      <c r="D1" s="2">
        <v>2020</v>
      </c>
      <c r="E1" s="3">
        <v>2021</v>
      </c>
      <c r="F1" s="2">
        <v>2022</v>
      </c>
      <c r="G1" s="2">
        <v>2021</v>
      </c>
      <c r="H1" s="2">
        <v>2022</v>
      </c>
    </row>
    <row r="2" spans="1:8" x14ac:dyDescent="0.2">
      <c r="B2" s="2"/>
      <c r="C2" s="4" t="s">
        <v>0</v>
      </c>
      <c r="D2" s="5" t="s">
        <v>0</v>
      </c>
      <c r="E2" s="6" t="s">
        <v>0</v>
      </c>
      <c r="F2" s="5" t="s">
        <v>0</v>
      </c>
      <c r="G2" s="5" t="s">
        <v>1</v>
      </c>
      <c r="H2" s="5" t="s">
        <v>1</v>
      </c>
    </row>
    <row r="3" spans="1:8" x14ac:dyDescent="0.2">
      <c r="A3" s="7" t="s">
        <v>239</v>
      </c>
      <c r="B3" s="2"/>
      <c r="C3" s="2"/>
      <c r="D3" s="2"/>
      <c r="E3" s="3"/>
      <c r="F3" s="2"/>
      <c r="G3" s="2"/>
      <c r="H3" s="2"/>
    </row>
    <row r="4" spans="1:8" x14ac:dyDescent="0.2">
      <c r="A4" s="1" t="s">
        <v>104</v>
      </c>
      <c r="B4" s="2"/>
      <c r="C4" s="2"/>
      <c r="D4" s="2"/>
      <c r="E4" s="3"/>
      <c r="F4" s="2"/>
      <c r="G4" s="2"/>
      <c r="H4" s="2"/>
    </row>
    <row r="5" spans="1:8" x14ac:dyDescent="0.2">
      <c r="A5" s="186" t="s">
        <v>372</v>
      </c>
      <c r="B5" s="1" t="str">
        <f>VLOOKUP(A5,'[1]SQL DATA'!$B:$J,3,FALSE)</f>
        <v>Transfer from Reserves - PW</v>
      </c>
      <c r="C5" s="20">
        <f>VLOOKUP(A5,'[1]SQL DATA'!$B:$K,10,FALSE)</f>
        <v>0</v>
      </c>
      <c r="D5" s="73">
        <f>VLOOKUP(A5,'[1]SQL DATA'!$B:$J,9,FALSE)</f>
        <v>0</v>
      </c>
      <c r="E5" s="50">
        <f>VLOOKUP(A5,'[1]SQL DATA'!$B:$J,7,FALSE)</f>
        <v>0</v>
      </c>
      <c r="F5" s="49">
        <f>VLOOKUP(A5,'[1]SQL DATA'!$B:$J,6,FALSE)</f>
        <v>0</v>
      </c>
      <c r="G5" s="138">
        <v>0</v>
      </c>
      <c r="H5" s="138">
        <v>0</v>
      </c>
    </row>
    <row r="6" spans="1:8" x14ac:dyDescent="0.2">
      <c r="A6" s="186" t="s">
        <v>349</v>
      </c>
      <c r="C6" s="92">
        <f t="shared" ref="C6:H6" si="0">+C5</f>
        <v>0</v>
      </c>
      <c r="D6" s="92">
        <f t="shared" si="0"/>
        <v>0</v>
      </c>
      <c r="E6" s="91">
        <f t="shared" si="0"/>
        <v>0</v>
      </c>
      <c r="F6" s="90">
        <f t="shared" si="0"/>
        <v>0</v>
      </c>
      <c r="G6" s="92">
        <f t="shared" si="0"/>
        <v>0</v>
      </c>
      <c r="H6" s="92">
        <f t="shared" si="0"/>
        <v>0</v>
      </c>
    </row>
    <row r="7" spans="1:8" x14ac:dyDescent="0.2">
      <c r="A7" s="186"/>
      <c r="D7" s="73"/>
      <c r="E7" s="50"/>
      <c r="F7" s="49"/>
      <c r="G7" s="73"/>
      <c r="H7" s="73"/>
    </row>
    <row r="8" spans="1:8" x14ac:dyDescent="0.2">
      <c r="A8" s="45" t="s">
        <v>28</v>
      </c>
      <c r="D8" s="73"/>
      <c r="E8" s="50"/>
      <c r="F8" s="49"/>
      <c r="G8" s="73"/>
      <c r="H8" s="73"/>
    </row>
    <row r="9" spans="1:8" x14ac:dyDescent="0.2">
      <c r="A9" s="1" t="s">
        <v>373</v>
      </c>
      <c r="B9" s="1" t="str">
        <f>VLOOKUP(A9,'[1]SQL DATA'!$B:$J,3,FALSE)</f>
        <v>F&amp;C - Custom Work - PW</v>
      </c>
      <c r="C9" s="20">
        <f>VLOOKUP(A9,'[1]SQL DATA'!$B:$K,10,FALSE)</f>
        <v>1780</v>
      </c>
      <c r="D9" s="73">
        <f>VLOOKUP(A9,'[1]SQL DATA'!$B:$J,9,FALSE)</f>
        <v>2340</v>
      </c>
      <c r="E9" s="50">
        <f>VLOOKUP(A9,'[1]SQL DATA'!$B:$J,7,FALSE)</f>
        <v>7000</v>
      </c>
      <c r="F9" s="49">
        <f>VLOOKUP(A9,'[1]SQL DATA'!$B:$J,6,FALSE)</f>
        <v>2950</v>
      </c>
      <c r="G9" s="20">
        <v>4300</v>
      </c>
      <c r="H9" s="20">
        <v>4300</v>
      </c>
    </row>
    <row r="10" spans="1:8" x14ac:dyDescent="0.2">
      <c r="A10" s="1" t="s">
        <v>374</v>
      </c>
      <c r="B10" s="1" t="str">
        <f>VLOOKUP(A10,'[1]SQL DATA'!$B:$J,3,FALSE)</f>
        <v>F&amp;C - Sale of Supplies &amp; Equip - PW</v>
      </c>
      <c r="C10" s="20">
        <f>VLOOKUP(A10,'[1]SQL DATA'!$B:$K,10,FALSE)</f>
        <v>159.80000000000001</v>
      </c>
      <c r="D10" s="73">
        <f>VLOOKUP(A10,'[1]SQL DATA'!$B:$J,9,FALSE)</f>
        <v>200</v>
      </c>
      <c r="E10" s="50">
        <f>VLOOKUP(A10,'[1]SQL DATA'!$B:$J,7,FALSE)</f>
        <v>0</v>
      </c>
      <c r="F10" s="49">
        <f>VLOOKUP(A10,'[1]SQL DATA'!$B:$J,6,FALSE)</f>
        <v>0</v>
      </c>
      <c r="G10" s="73">
        <v>100</v>
      </c>
      <c r="H10" s="73">
        <v>100</v>
      </c>
    </row>
    <row r="11" spans="1:8" x14ac:dyDescent="0.2">
      <c r="A11" s="1" t="s">
        <v>375</v>
      </c>
      <c r="B11" s="1" t="str">
        <f>VLOOKUP(A11,'[1]SQL DATA'!$B:$J,3,FALSE)</f>
        <v>F&amp;C - Rentals - Equipment</v>
      </c>
      <c r="C11" s="20">
        <f>VLOOKUP(A11,'[1]SQL DATA'!$B:$K,10,FALSE)</f>
        <v>0</v>
      </c>
      <c r="D11" s="73">
        <f>VLOOKUP(A11,'[1]SQL DATA'!$B:$J,9,FALSE)</f>
        <v>0</v>
      </c>
      <c r="E11" s="50">
        <f>VLOOKUP(A11,'[1]SQL DATA'!$B:$J,7,FALSE)</f>
        <v>0</v>
      </c>
      <c r="F11" s="49">
        <f>VLOOKUP(A11,'[1]SQL DATA'!$B:$J,6,FALSE)</f>
        <v>0</v>
      </c>
      <c r="G11" s="73">
        <v>50</v>
      </c>
      <c r="H11" s="73">
        <v>50</v>
      </c>
    </row>
    <row r="12" spans="1:8" x14ac:dyDescent="0.2">
      <c r="A12" s="1" t="s">
        <v>42</v>
      </c>
      <c r="B12" s="72"/>
      <c r="C12" s="66">
        <f t="shared" ref="C12:H12" si="1">SUM(C8:C11)</f>
        <v>1939.8</v>
      </c>
      <c r="D12" s="66">
        <f t="shared" si="1"/>
        <v>2540</v>
      </c>
      <c r="E12" s="68">
        <f t="shared" si="1"/>
        <v>7000</v>
      </c>
      <c r="F12" s="67">
        <f t="shared" si="1"/>
        <v>2950</v>
      </c>
      <c r="G12" s="66">
        <f t="shared" si="1"/>
        <v>4450</v>
      </c>
      <c r="H12" s="66">
        <f t="shared" si="1"/>
        <v>4450</v>
      </c>
    </row>
    <row r="13" spans="1:8" x14ac:dyDescent="0.2">
      <c r="C13" s="73"/>
      <c r="D13" s="73"/>
      <c r="E13" s="50"/>
      <c r="F13" s="49"/>
      <c r="G13" s="73"/>
      <c r="H13" s="73"/>
    </row>
    <row r="14" spans="1:8" x14ac:dyDescent="0.2">
      <c r="A14" s="34" t="s">
        <v>7</v>
      </c>
      <c r="B14" s="72"/>
      <c r="C14" s="30">
        <f t="shared" ref="C14:H14" si="2">C6+C12</f>
        <v>1939.8</v>
      </c>
      <c r="D14" s="30">
        <f t="shared" si="2"/>
        <v>2540</v>
      </c>
      <c r="E14" s="19">
        <f t="shared" si="2"/>
        <v>7000</v>
      </c>
      <c r="F14" s="18">
        <f t="shared" si="2"/>
        <v>2950</v>
      </c>
      <c r="G14" s="30">
        <f t="shared" si="2"/>
        <v>4450</v>
      </c>
      <c r="H14" s="30">
        <f t="shared" si="2"/>
        <v>4450</v>
      </c>
    </row>
    <row r="15" spans="1:8" x14ac:dyDescent="0.2">
      <c r="A15" s="34"/>
      <c r="B15" s="72"/>
      <c r="C15" s="72"/>
      <c r="D15" s="87"/>
      <c r="E15" s="53"/>
      <c r="F15" s="52"/>
      <c r="G15" s="87"/>
      <c r="H15" s="87"/>
    </row>
    <row r="16" spans="1:8" x14ac:dyDescent="0.2">
      <c r="A16" s="7" t="s">
        <v>9</v>
      </c>
      <c r="B16" s="14"/>
      <c r="C16" s="14"/>
      <c r="D16" s="73"/>
      <c r="E16" s="50"/>
      <c r="F16" s="49"/>
      <c r="G16" s="73"/>
      <c r="H16" s="73"/>
    </row>
    <row r="17" spans="1:9" ht="13.5" customHeight="1" x14ac:dyDescent="0.2">
      <c r="A17" s="45" t="s">
        <v>51</v>
      </c>
      <c r="D17" s="73"/>
      <c r="E17" s="50"/>
      <c r="F17" s="49"/>
      <c r="G17" s="73"/>
      <c r="H17" s="73"/>
    </row>
    <row r="18" spans="1:9" x14ac:dyDescent="0.2">
      <c r="A18" s="1" t="s">
        <v>376</v>
      </c>
      <c r="B18" s="1" t="str">
        <f>VLOOKUP(A18,'[1]SQL DATA'!$B:$J,3,FALSE)</f>
        <v>TS - Const. - Salaries - PW Admin</v>
      </c>
      <c r="C18" s="160">
        <f>VLOOKUP(A18,'[1]SQL DATA'!$B:$K,10,FALSE)</f>
        <v>0</v>
      </c>
      <c r="D18" s="187">
        <f>VLOOKUP(A18,'[1]SQL DATA'!$B:$J,9,FALSE)</f>
        <v>0</v>
      </c>
      <c r="E18" s="50">
        <f>VLOOKUP(A18,'[1]SQL DATA'!$B:$J,7,FALSE)</f>
        <v>77187.990000000005</v>
      </c>
      <c r="F18" s="49">
        <f>VLOOKUP(A18,'[1]SQL DATA'!$B:$J,6,FALSE)</f>
        <v>34314.01</v>
      </c>
      <c r="G18" s="73">
        <v>95000</v>
      </c>
      <c r="H18" s="73">
        <f>126000-72800</f>
        <v>53200</v>
      </c>
    </row>
    <row r="19" spans="1:9" x14ac:dyDescent="0.2">
      <c r="A19" s="1" t="s">
        <v>377</v>
      </c>
      <c r="B19" s="1" t="str">
        <f>VLOOKUP(A19,'[1]SQL DATA'!$B:$J,3,FALSE)</f>
        <v>TS - Const. - Benefits - CPP</v>
      </c>
      <c r="C19" s="20">
        <f>VLOOKUP(A19,'[1]SQL DATA'!$B:$K,10,FALSE)</f>
        <v>2657.53</v>
      </c>
      <c r="D19" s="73">
        <f>VLOOKUP(A19,'[1]SQL DATA'!$B:$J,9,FALSE)</f>
        <v>3798.4</v>
      </c>
      <c r="E19" s="50">
        <f>VLOOKUP(A19,'[1]SQL DATA'!$B:$J,7,FALSE)</f>
        <v>3658.27</v>
      </c>
      <c r="F19" s="49">
        <f>VLOOKUP(A19,'[1]SQL DATA'!$B:$J,6,FALSE)</f>
        <v>11524.29</v>
      </c>
      <c r="G19" s="73">
        <v>3800</v>
      </c>
      <c r="H19" s="73">
        <f>H18*0.0495-3</f>
        <v>2630.4</v>
      </c>
    </row>
    <row r="20" spans="1:9" x14ac:dyDescent="0.2">
      <c r="A20" s="1" t="s">
        <v>378</v>
      </c>
      <c r="B20" s="1" t="str">
        <f>VLOOKUP(A20,'[1]SQL DATA'!$B:$J,3,FALSE)</f>
        <v>TS - Const. - Benefits - EI</v>
      </c>
      <c r="C20" s="20">
        <f>VLOOKUP(A20,'[1]SQL DATA'!$B:$K,10,FALSE)</f>
        <v>2303.41</v>
      </c>
      <c r="D20" s="73">
        <f>VLOOKUP(A20,'[1]SQL DATA'!$B:$J,9,FALSE)</f>
        <v>1478.95</v>
      </c>
      <c r="E20" s="50">
        <f>VLOOKUP(A20,'[1]SQL DATA'!$B:$J,7,FALSE)</f>
        <v>1405.22</v>
      </c>
      <c r="F20" s="49">
        <f>VLOOKUP(A20,'[1]SQL DATA'!$B:$J,6,FALSE)</f>
        <v>4539.8100000000004</v>
      </c>
      <c r="G20" s="73">
        <v>1600</v>
      </c>
      <c r="H20" s="73">
        <f>H18*0.02442+1</f>
        <v>1300.144</v>
      </c>
    </row>
    <row r="21" spans="1:9" x14ac:dyDescent="0.2">
      <c r="A21" s="1" t="s">
        <v>379</v>
      </c>
      <c r="B21" s="1" t="str">
        <f>VLOOKUP(A21,'[1]SQL DATA'!$B:$J,3,FALSE)</f>
        <v>TS - Const. - Benefits - MEPP</v>
      </c>
      <c r="C21" s="20">
        <f>VLOOKUP(A21,'[1]SQL DATA'!$B:$K,10,FALSE)</f>
        <v>7993.77</v>
      </c>
      <c r="D21" s="73">
        <f>VLOOKUP(A21,'[1]SQL DATA'!$B:$J,9,FALSE)</f>
        <v>7952.38</v>
      </c>
      <c r="E21" s="50">
        <f>VLOOKUP(A21,'[1]SQL DATA'!$B:$J,7,FALSE)</f>
        <v>6711.08</v>
      </c>
      <c r="F21" s="49">
        <f>VLOOKUP(A21,'[1]SQL DATA'!$B:$J,6,FALSE)</f>
        <v>2396.27</v>
      </c>
      <c r="G21" s="73">
        <v>8550</v>
      </c>
      <c r="H21" s="73">
        <f>H18*0.09-2000+2</f>
        <v>2790</v>
      </c>
    </row>
    <row r="22" spans="1:9" x14ac:dyDescent="0.2">
      <c r="A22" s="1" t="s">
        <v>380</v>
      </c>
      <c r="B22" s="1" t="str">
        <f>VLOOKUP(A22,'[1]SQL DATA'!$B:$J,3,FALSE)</f>
        <v>TS - Const. - Benefits - Worker Comp</v>
      </c>
      <c r="C22" s="20">
        <f>VLOOKUP(A22,'[1]SQL DATA'!$B:$K,10,FALSE)</f>
        <v>126.99</v>
      </c>
      <c r="D22" s="73">
        <f>VLOOKUP(A22,'[1]SQL DATA'!$B:$J,9,FALSE)</f>
        <v>1315.64</v>
      </c>
      <c r="E22" s="50">
        <f>VLOOKUP(A22,'[1]SQL DATA'!$B:$J,7,FALSE)</f>
        <v>1354.86</v>
      </c>
      <c r="F22" s="49">
        <f>VLOOKUP(A22,'[1]SQL DATA'!$B:$J,6,FALSE)</f>
        <v>1397.95</v>
      </c>
      <c r="G22" s="73">
        <v>1500</v>
      </c>
      <c r="H22" s="73">
        <v>1500</v>
      </c>
    </row>
    <row r="23" spans="1:9" x14ac:dyDescent="0.2">
      <c r="A23" s="1" t="s">
        <v>381</v>
      </c>
      <c r="B23" s="1" t="str">
        <f>VLOOKUP(A23,'[1]SQL DATA'!$B:$J,3,FALSE)</f>
        <v>TS - Const. - Benefits - Group Benefits</v>
      </c>
      <c r="C23" s="83">
        <f>VLOOKUP(A23,'[1]SQL DATA'!$B:$K,10,FALSE)</f>
        <v>5150.3900000000003</v>
      </c>
      <c r="D23" s="83">
        <f>VLOOKUP(A23,'[1]SQL DATA'!$B:$J,9,FALSE)</f>
        <v>4145.5200000000004</v>
      </c>
      <c r="E23" s="85">
        <f>VLOOKUP(A23,'[1]SQL DATA'!$B:$J,7,FALSE)</f>
        <v>5248.55</v>
      </c>
      <c r="F23" s="84">
        <f>VLOOKUP(A23,'[1]SQL DATA'!$B:$J,6,FALSE)</f>
        <v>2207.62</v>
      </c>
      <c r="G23" s="83">
        <v>4200</v>
      </c>
      <c r="H23" s="83">
        <f>H18*0.06-2</f>
        <v>3190</v>
      </c>
    </row>
    <row r="24" spans="1:9" x14ac:dyDescent="0.2">
      <c r="A24" s="9" t="s">
        <v>58</v>
      </c>
      <c r="B24" s="72"/>
      <c r="C24" s="177">
        <f>SUM(C18:C23)</f>
        <v>18232.09</v>
      </c>
      <c r="D24" s="177">
        <f>SUM(D18:D23)</f>
        <v>18690.89</v>
      </c>
      <c r="E24" s="178">
        <f>SUM(E18:E23)</f>
        <v>95565.970000000016</v>
      </c>
      <c r="F24" s="179">
        <f>SUM(F18:F23)</f>
        <v>56379.95</v>
      </c>
      <c r="G24" s="177">
        <f t="shared" ref="G24" si="3">SUM(G18:G23)</f>
        <v>114650</v>
      </c>
      <c r="H24" s="177">
        <f>SUM(H18:H23)</f>
        <v>64610.544000000002</v>
      </c>
      <c r="I24" s="14"/>
    </row>
    <row r="25" spans="1:9" x14ac:dyDescent="0.2">
      <c r="A25" s="1" t="s">
        <v>8</v>
      </c>
      <c r="D25" s="73"/>
      <c r="E25" s="50"/>
      <c r="F25" s="49"/>
      <c r="G25" s="73"/>
      <c r="H25" s="73"/>
    </row>
    <row r="26" spans="1:9" x14ac:dyDescent="0.2">
      <c r="A26" s="45" t="s">
        <v>67</v>
      </c>
      <c r="D26" s="73"/>
      <c r="E26" s="50"/>
      <c r="F26" s="49"/>
      <c r="G26" s="73"/>
      <c r="H26" s="73"/>
    </row>
    <row r="27" spans="1:9" x14ac:dyDescent="0.2">
      <c r="A27" s="1" t="s">
        <v>382</v>
      </c>
      <c r="B27" s="1" t="str">
        <f>VLOOKUP(A27,'[1]SQL DATA'!$B:$J,3,FALSE)</f>
        <v>TS - Const. - Utility - Heat - Shop</v>
      </c>
      <c r="C27" s="20">
        <f>VLOOKUP(A27,'[1]SQL DATA'!$B:$K,10,FALSE)</f>
        <v>4042.86</v>
      </c>
      <c r="D27" s="73">
        <f>VLOOKUP(A27,'[1]SQL DATA'!$B:$J,9,FALSE)</f>
        <v>4329.1400000000003</v>
      </c>
      <c r="E27" s="50">
        <f>VLOOKUP(A27,'[1]SQL DATA'!$B:$J,7,FALSE)</f>
        <v>4491.07</v>
      </c>
      <c r="F27" s="49">
        <f>VLOOKUP(A27,'[1]SQL DATA'!$B:$J,6,FALSE)</f>
        <v>3823.75</v>
      </c>
      <c r="G27" s="73">
        <v>4050</v>
      </c>
      <c r="H27" s="73">
        <v>4500</v>
      </c>
    </row>
    <row r="28" spans="1:9" x14ac:dyDescent="0.2">
      <c r="A28" s="1" t="s">
        <v>383</v>
      </c>
      <c r="B28" s="1" t="str">
        <f>VLOOKUP(A28,'[1]SQL DATA'!$B:$J,3,FALSE)</f>
        <v>TS - Const. - Utility - Power - Shop</v>
      </c>
      <c r="C28" s="20">
        <f>VLOOKUP(A28,'[1]SQL DATA'!$B:$K,10,FALSE)</f>
        <v>7800.84</v>
      </c>
      <c r="D28" s="73">
        <f>VLOOKUP(A28,'[1]SQL DATA'!$B:$J,9,FALSE)</f>
        <v>6608.51</v>
      </c>
      <c r="E28" s="50">
        <f>VLOOKUP(A28,'[1]SQL DATA'!$B:$J,7,FALSE)</f>
        <v>5549.37</v>
      </c>
      <c r="F28" s="49">
        <f>VLOOKUP(A28,'[1]SQL DATA'!$B:$J,6,FALSE)</f>
        <v>4694.8999999999996</v>
      </c>
      <c r="G28" s="73">
        <v>8000</v>
      </c>
      <c r="H28" s="73">
        <v>5600</v>
      </c>
    </row>
    <row r="29" spans="1:9" x14ac:dyDescent="0.2">
      <c r="A29" s="1" t="s">
        <v>384</v>
      </c>
      <c r="B29" s="1" t="str">
        <f>VLOOKUP(A29,'[1]SQL DATA'!$B:$J,3,FALSE)</f>
        <v>TS - Const. - Utility - Telephone - Shop</v>
      </c>
      <c r="C29" s="83">
        <f>VLOOKUP(A29,'[1]SQL DATA'!$B:$K,10,FALSE)</f>
        <v>5546.99</v>
      </c>
      <c r="D29" s="83">
        <f>VLOOKUP(A29,'[1]SQL DATA'!$B:$J,9,FALSE)</f>
        <v>4553.97</v>
      </c>
      <c r="E29" s="85">
        <f>VLOOKUP(A29,'[1]SQL DATA'!$B:$J,7,FALSE)</f>
        <v>4615.34</v>
      </c>
      <c r="F29" s="84">
        <f>VLOOKUP(A29,'[1]SQL DATA'!$B:$J,6,FALSE)</f>
        <v>3139.52</v>
      </c>
      <c r="G29" s="83">
        <v>6300</v>
      </c>
      <c r="H29" s="83">
        <v>4800</v>
      </c>
    </row>
    <row r="30" spans="1:9" x14ac:dyDescent="0.2">
      <c r="A30" s="9" t="s">
        <v>72</v>
      </c>
      <c r="B30" s="72"/>
      <c r="C30" s="177">
        <f>SUM(C27:C29)</f>
        <v>17390.690000000002</v>
      </c>
      <c r="D30" s="177">
        <f>SUM(D27:D29)</f>
        <v>15491.620000000003</v>
      </c>
      <c r="E30" s="178">
        <f>SUM(E27:E29)</f>
        <v>14655.779999999999</v>
      </c>
      <c r="F30" s="179">
        <f>SUM(F27:F29)</f>
        <v>11658.17</v>
      </c>
      <c r="G30" s="177">
        <f t="shared" ref="G30:H30" si="4">SUM(G27:G29)</f>
        <v>18350</v>
      </c>
      <c r="H30" s="177">
        <f t="shared" si="4"/>
        <v>14900</v>
      </c>
    </row>
    <row r="31" spans="1:9" x14ac:dyDescent="0.2">
      <c r="A31" s="1" t="s">
        <v>8</v>
      </c>
      <c r="D31" s="73"/>
      <c r="E31" s="50"/>
      <c r="F31" s="49"/>
      <c r="G31" s="73"/>
      <c r="H31" s="73"/>
    </row>
    <row r="32" spans="1:9" x14ac:dyDescent="0.2">
      <c r="A32" s="45" t="s">
        <v>111</v>
      </c>
      <c r="D32" s="73"/>
      <c r="E32" s="50"/>
      <c r="F32" s="49"/>
      <c r="G32" s="73"/>
      <c r="H32" s="73"/>
    </row>
    <row r="33" spans="1:8" ht="15" customHeight="1" x14ac:dyDescent="0.2">
      <c r="A33" s="1" t="s">
        <v>385</v>
      </c>
      <c r="B33" s="1" t="str">
        <f>VLOOKUP(A33,'[1]SQL DATA'!$B:$J,3,FALSE)</f>
        <v>TS - Const. - Insurance - General - Shop</v>
      </c>
      <c r="C33" s="20">
        <f>VLOOKUP(A33,'[1]SQL DATA'!$B:$K,10,FALSE)</f>
        <v>902.06</v>
      </c>
      <c r="D33" s="73">
        <f>VLOOKUP(A33,'[1]SQL DATA'!$B:$J,9,FALSE)</f>
        <v>671.04</v>
      </c>
      <c r="E33" s="50">
        <f>VLOOKUP(A33,'[1]SQL DATA'!$B:$J,7,FALSE)</f>
        <v>1294.8699999999999</v>
      </c>
      <c r="F33" s="49">
        <f>VLOOKUP(A33,'[1]SQL DATA'!$B:$J,6,FALSE)</f>
        <v>1389.2</v>
      </c>
      <c r="G33" s="73">
        <v>1290</v>
      </c>
      <c r="H33" s="73">
        <v>1390</v>
      </c>
    </row>
    <row r="34" spans="1:8" x14ac:dyDescent="0.2">
      <c r="A34" s="1" t="s">
        <v>386</v>
      </c>
      <c r="B34" s="1" t="str">
        <f>VLOOKUP(A34,'[1]SQL DATA'!$B:$J,3,FALSE)</f>
        <v>TS - Const. - Advertising - PW</v>
      </c>
      <c r="C34" s="20">
        <f>VLOOKUP(A34,'[1]SQL DATA'!$B:$K,10,FALSE)</f>
        <v>500</v>
      </c>
      <c r="D34" s="73">
        <f>VLOOKUP(A34,'[1]SQL DATA'!$B:$J,9,FALSE)</f>
        <v>500</v>
      </c>
      <c r="E34" s="50">
        <f>VLOOKUP(A34,'[1]SQL DATA'!$B:$J,7,FALSE)</f>
        <v>0</v>
      </c>
      <c r="F34" s="49">
        <f>VLOOKUP(A34,'[1]SQL DATA'!$B:$J,6,FALSE)</f>
        <v>0</v>
      </c>
      <c r="G34" s="73">
        <v>500</v>
      </c>
      <c r="H34" s="73">
        <v>500</v>
      </c>
    </row>
    <row r="35" spans="1:8" x14ac:dyDescent="0.2">
      <c r="A35" s="1" t="s">
        <v>387</v>
      </c>
      <c r="B35" s="1" t="str">
        <f>VLOOKUP(A35,'[1]SQL DATA'!$B:$J,3,FALSE)</f>
        <v>TS - Const.- Conference Fees/Training PW</v>
      </c>
      <c r="C35" s="20">
        <f>VLOOKUP(A35,'[1]SQL DATA'!$B:$K,10,FALSE)</f>
        <v>1114.8</v>
      </c>
      <c r="D35" s="73">
        <f>VLOOKUP(A35,'[1]SQL DATA'!$B:$J,9,FALSE)</f>
        <v>334.95</v>
      </c>
      <c r="E35" s="50">
        <f>VLOOKUP(A35,'[1]SQL DATA'!$B:$J,7,FALSE)</f>
        <v>7377.64</v>
      </c>
      <c r="F35" s="49">
        <f>VLOOKUP(A35,'[1]SQL DATA'!$B:$J,6,FALSE)</f>
        <v>126.19</v>
      </c>
      <c r="G35" s="73">
        <v>3000</v>
      </c>
      <c r="H35" s="73">
        <v>3000</v>
      </c>
    </row>
    <row r="36" spans="1:8" x14ac:dyDescent="0.2">
      <c r="A36" s="1" t="s">
        <v>388</v>
      </c>
      <c r="B36" s="1" t="str">
        <f>VLOOKUP(A36,'[1]SQL DATA'!$B:$J,3,FALSE)</f>
        <v>TS - Const. - Shop Supply &amp; Small Tools</v>
      </c>
      <c r="C36" s="20">
        <f>VLOOKUP(A36,'[1]SQL DATA'!$B:$K,10,FALSE)</f>
        <v>14228.63</v>
      </c>
      <c r="D36" s="73">
        <f>VLOOKUP(A36,'[1]SQL DATA'!$B:$J,9,FALSE)</f>
        <v>4403.47</v>
      </c>
      <c r="E36" s="50">
        <f>VLOOKUP(A36,'[1]SQL DATA'!$B:$J,7,FALSE)</f>
        <v>7572.77</v>
      </c>
      <c r="F36" s="49">
        <f>VLOOKUP(A36,'[1]SQL DATA'!$B:$J,6,FALSE)</f>
        <v>4999.99</v>
      </c>
      <c r="G36" s="73">
        <v>8500</v>
      </c>
      <c r="H36" s="73">
        <v>8500</v>
      </c>
    </row>
    <row r="37" spans="1:8" x14ac:dyDescent="0.2">
      <c r="A37" s="1" t="s">
        <v>389</v>
      </c>
      <c r="B37" s="1" t="str">
        <f>VLOOKUP(A37,'[1]SQL DATA'!$B:$J,3,FALSE)</f>
        <v>TS - Const. - Shop Supplies</v>
      </c>
      <c r="C37" s="20">
        <f>VLOOKUP(A37,'[1]SQL DATA'!$B:$K,10,FALSE)</f>
        <v>8469.75</v>
      </c>
      <c r="D37" s="73">
        <f>VLOOKUP(A37,'[1]SQL DATA'!$B:$J,9,FALSE)</f>
        <v>12151.32</v>
      </c>
      <c r="E37" s="50">
        <f>VLOOKUP(A37,'[1]SQL DATA'!$B:$J,7,FALSE)</f>
        <v>12364.97</v>
      </c>
      <c r="F37" s="49">
        <f>VLOOKUP(A37,'[1]SQL DATA'!$B:$J,6,FALSE)</f>
        <v>5114.1099999999997</v>
      </c>
      <c r="G37" s="73">
        <v>9500</v>
      </c>
      <c r="H37" s="73">
        <v>12500</v>
      </c>
    </row>
    <row r="38" spans="1:8" x14ac:dyDescent="0.2">
      <c r="A38" s="1" t="s">
        <v>390</v>
      </c>
      <c r="B38" s="1" t="str">
        <f>VLOOKUP(A38,'[1]SQL DATA'!$B:$J,3,FALSE)</f>
        <v>TS - Const. - Office Equipment Maint.</v>
      </c>
      <c r="C38" s="20">
        <f>VLOOKUP(A38,'[1]SQL DATA'!$B:$K,10,FALSE)</f>
        <v>1000</v>
      </c>
      <c r="D38" s="73">
        <f>VLOOKUP(A38,'[1]SQL DATA'!$B:$J,9,FALSE)</f>
        <v>1000</v>
      </c>
      <c r="E38" s="50">
        <f>VLOOKUP(A38,'[1]SQL DATA'!$B:$J,7,FALSE)</f>
        <v>1000</v>
      </c>
      <c r="F38" s="49">
        <f>VLOOKUP(A38,'[1]SQL DATA'!$B:$J,6,FALSE)</f>
        <v>0</v>
      </c>
      <c r="G38" s="73">
        <v>1000</v>
      </c>
      <c r="H38" s="73">
        <v>1000</v>
      </c>
    </row>
    <row r="39" spans="1:8" x14ac:dyDescent="0.2">
      <c r="A39" s="1" t="s">
        <v>391</v>
      </c>
      <c r="B39" s="1" t="str">
        <f>VLOOKUP(A39,'[1]SQL DATA'!$B:$J,3,FALSE)</f>
        <v>TS - Const. - PW Discretionary Fund</v>
      </c>
      <c r="C39" s="83">
        <f>VLOOKUP(A39,'[1]SQL DATA'!$B:$K,10,FALSE)</f>
        <v>2905.96</v>
      </c>
      <c r="D39" s="83">
        <f>VLOOKUP(A39,'[1]SQL DATA'!$B:$J,9,FALSE)</f>
        <v>4110.5200000000004</v>
      </c>
      <c r="E39" s="85">
        <f>VLOOKUP(A39,'[1]SQL DATA'!$B:$J,7,FALSE)</f>
        <v>1377.95</v>
      </c>
      <c r="F39" s="84">
        <f>VLOOKUP(A39,'[1]SQL DATA'!$B:$J,6,FALSE)</f>
        <v>0</v>
      </c>
      <c r="G39" s="83">
        <v>10000</v>
      </c>
      <c r="H39" s="83">
        <v>10000</v>
      </c>
    </row>
    <row r="40" spans="1:8" x14ac:dyDescent="0.2">
      <c r="A40" s="9" t="s">
        <v>85</v>
      </c>
      <c r="B40" s="72"/>
      <c r="C40" s="177">
        <f t="shared" ref="C40:H40" si="5">SUM(C33:C39)</f>
        <v>29121.199999999997</v>
      </c>
      <c r="D40" s="177">
        <f t="shared" si="5"/>
        <v>23171.3</v>
      </c>
      <c r="E40" s="178">
        <f t="shared" si="5"/>
        <v>30988.2</v>
      </c>
      <c r="F40" s="179">
        <f t="shared" si="5"/>
        <v>11629.49</v>
      </c>
      <c r="G40" s="177">
        <f t="shared" si="5"/>
        <v>33790</v>
      </c>
      <c r="H40" s="177">
        <f t="shared" si="5"/>
        <v>36890</v>
      </c>
    </row>
    <row r="41" spans="1:8" x14ac:dyDescent="0.2">
      <c r="A41" s="1" t="s">
        <v>8</v>
      </c>
      <c r="D41" s="73"/>
      <c r="E41" s="50"/>
      <c r="F41" s="49"/>
      <c r="G41" s="73"/>
      <c r="H41" s="73"/>
    </row>
    <row r="42" spans="1:8" x14ac:dyDescent="0.2">
      <c r="A42" s="45" t="s">
        <v>95</v>
      </c>
      <c r="D42" s="73"/>
      <c r="E42" s="50"/>
      <c r="F42" s="49"/>
      <c r="G42" s="73"/>
      <c r="H42" s="73"/>
    </row>
    <row r="43" spans="1:8" x14ac:dyDescent="0.2">
      <c r="A43" s="1" t="s">
        <v>392</v>
      </c>
      <c r="B43" s="1" t="str">
        <f>VLOOKUP(A43,'[1]SQL DATA'!$B:$J,3,FALSE)</f>
        <v>TS - Const. - Travel, Meal &amp; Sub. - PW</v>
      </c>
      <c r="C43" s="83">
        <f>VLOOKUP(A43,'[1]SQL DATA'!$B:$K,10,FALSE)</f>
        <v>0</v>
      </c>
      <c r="D43" s="83">
        <f>VLOOKUP(A43,'[1]SQL DATA'!$B:$J,9,FALSE)</f>
        <v>0</v>
      </c>
      <c r="E43" s="85">
        <f>VLOOKUP(A43,'[1]SQL DATA'!$B:$J,7,FALSE)</f>
        <v>0</v>
      </c>
      <c r="F43" s="84">
        <f>VLOOKUP(A43,'[1]SQL DATA'!$B:$J,6,FALSE)</f>
        <v>0</v>
      </c>
      <c r="G43" s="83">
        <v>300</v>
      </c>
      <c r="H43" s="83">
        <v>300</v>
      </c>
    </row>
    <row r="44" spans="1:8" x14ac:dyDescent="0.2">
      <c r="A44" s="9" t="s">
        <v>98</v>
      </c>
      <c r="B44" s="72"/>
      <c r="C44" s="87">
        <f>SUM(C43)</f>
        <v>0</v>
      </c>
      <c r="D44" s="87">
        <f>SUM(D43)</f>
        <v>0</v>
      </c>
      <c r="E44" s="53">
        <f t="shared" ref="E44:H44" si="6">SUM(E43)</f>
        <v>0</v>
      </c>
      <c r="F44" s="52">
        <f t="shared" si="6"/>
        <v>0</v>
      </c>
      <c r="G44" s="87">
        <f t="shared" si="6"/>
        <v>300</v>
      </c>
      <c r="H44" s="87">
        <f t="shared" si="6"/>
        <v>300</v>
      </c>
    </row>
    <row r="45" spans="1:8" x14ac:dyDescent="0.2">
      <c r="A45" s="9"/>
      <c r="B45" s="72"/>
      <c r="C45" s="72"/>
      <c r="D45" s="87"/>
      <c r="E45" s="53"/>
      <c r="F45" s="52"/>
      <c r="G45" s="87"/>
      <c r="H45" s="87"/>
    </row>
    <row r="46" spans="1:8" x14ac:dyDescent="0.2">
      <c r="A46" s="188" t="s">
        <v>393</v>
      </c>
      <c r="B46" s="188" t="str">
        <f>VLOOKUP(A46,'[1]SQL DATA'!$B:$J,3,FALSE)</f>
        <v>Transfer to Reserves - PW</v>
      </c>
      <c r="C46" s="29">
        <f>VLOOKUP(A46,'[1]SQL DATA'!$B:$K,10,FALSE)</f>
        <v>7094.04</v>
      </c>
      <c r="D46" s="189">
        <f>VLOOKUP(A46,'[1]SQL DATA'!$B:$J,9,FALSE)</f>
        <v>5889.48</v>
      </c>
      <c r="E46" s="189">
        <f>VLOOKUP(A46,'[1]SQL DATA'!$B:$J,7,FALSE)</f>
        <v>5757.08</v>
      </c>
      <c r="F46" s="189">
        <f>VLOOKUP(A46,'[1]SQL DATA'!$B:$J,6,FALSE)</f>
        <v>0</v>
      </c>
      <c r="G46" s="189">
        <v>0</v>
      </c>
      <c r="H46" s="189">
        <v>0</v>
      </c>
    </row>
    <row r="47" spans="1:8" x14ac:dyDescent="0.2">
      <c r="A47" s="9"/>
      <c r="B47" s="82"/>
      <c r="C47" s="82"/>
      <c r="D47" s="73"/>
      <c r="E47" s="50"/>
      <c r="F47" s="49"/>
      <c r="G47" s="73"/>
      <c r="H47" s="73"/>
    </row>
    <row r="48" spans="1:8" x14ac:dyDescent="0.2">
      <c r="A48" s="34" t="s">
        <v>21</v>
      </c>
      <c r="B48" s="72"/>
      <c r="C48" s="30">
        <f t="shared" ref="C48:H48" si="7">C24+C30+C40+C44+C46</f>
        <v>71838.01999999999</v>
      </c>
      <c r="D48" s="30">
        <f t="shared" si="7"/>
        <v>63243.289999999994</v>
      </c>
      <c r="E48" s="19">
        <f t="shared" si="7"/>
        <v>146967.03</v>
      </c>
      <c r="F48" s="18">
        <f t="shared" si="7"/>
        <v>79667.61</v>
      </c>
      <c r="G48" s="30">
        <f t="shared" si="7"/>
        <v>167090</v>
      </c>
      <c r="H48" s="30">
        <f t="shared" si="7"/>
        <v>116700.54399999999</v>
      </c>
    </row>
    <row r="49" spans="1:8" x14ac:dyDescent="0.2">
      <c r="A49" s="34"/>
      <c r="B49" s="72"/>
      <c r="C49" s="66"/>
      <c r="D49" s="66"/>
      <c r="E49" s="68"/>
      <c r="F49" s="67"/>
      <c r="G49" s="66"/>
      <c r="H49" s="66"/>
    </row>
    <row r="50" spans="1:8" ht="13.5" thickBot="1" x14ac:dyDescent="0.25">
      <c r="A50" s="34" t="s">
        <v>22</v>
      </c>
      <c r="B50" s="72"/>
      <c r="C50" s="69">
        <f>(C14)-C48</f>
        <v>-69898.219999999987</v>
      </c>
      <c r="D50" s="69">
        <f>(D14)-D48</f>
        <v>-60703.289999999994</v>
      </c>
      <c r="E50" s="70">
        <f t="shared" ref="E50:H50" si="8">(E14)-E48</f>
        <v>-139967.03</v>
      </c>
      <c r="F50" s="18">
        <f t="shared" si="8"/>
        <v>-76717.61</v>
      </c>
      <c r="G50" s="69">
        <f t="shared" si="8"/>
        <v>-162640</v>
      </c>
      <c r="H50" s="69">
        <f t="shared" si="8"/>
        <v>-112250.54399999999</v>
      </c>
    </row>
    <row r="51" spans="1:8" ht="13.5" thickTop="1" x14ac:dyDescent="0.2"/>
  </sheetData>
  <pageMargins left="0.74803149606299213" right="0.74803149606299213" top="0.57291666666666663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PW Admin
</oddHeader>
    <oddFooter>&amp;L&amp;P of &amp;N &amp;C&amp;R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98D6E-4A6E-4B56-9DE2-02599D4AE87F}">
  <dimension ref="A1:H27"/>
  <sheetViews>
    <sheetView zoomScale="150" zoomScaleNormal="150" zoomScalePageLayoutView="90" workbookViewId="0">
      <selection activeCell="G9" sqref="G9"/>
    </sheetView>
  </sheetViews>
  <sheetFormatPr defaultColWidth="8.85546875" defaultRowHeight="12.75" x14ac:dyDescent="0.2"/>
  <cols>
    <col min="1" max="1" width="13.28515625" style="1" customWidth="1"/>
    <col min="2" max="2" width="23.5703125" style="1" customWidth="1"/>
    <col min="3" max="6" width="8.140625" style="1" bestFit="1" customWidth="1"/>
    <col min="7" max="7" width="10.85546875" style="1" customWidth="1"/>
    <col min="8" max="8" width="8.5703125" style="1" bestFit="1" customWidth="1"/>
    <col min="9" max="16384" width="8.85546875" style="1"/>
  </cols>
  <sheetData>
    <row r="1" spans="1:8" x14ac:dyDescent="0.2">
      <c r="B1" s="71"/>
      <c r="C1" s="2">
        <v>2019</v>
      </c>
      <c r="D1" s="2">
        <v>2020</v>
      </c>
      <c r="E1" s="3">
        <v>2021</v>
      </c>
      <c r="F1" s="2">
        <v>2022</v>
      </c>
      <c r="G1" s="2">
        <v>2021</v>
      </c>
      <c r="H1" s="2">
        <v>2022</v>
      </c>
    </row>
    <row r="2" spans="1:8" x14ac:dyDescent="0.2">
      <c r="B2" s="2"/>
      <c r="C2" s="4" t="s">
        <v>0</v>
      </c>
      <c r="D2" s="5" t="s">
        <v>0</v>
      </c>
      <c r="E2" s="6" t="s">
        <v>0</v>
      </c>
      <c r="F2" s="5" t="s">
        <v>0</v>
      </c>
      <c r="G2" s="5" t="s">
        <v>1</v>
      </c>
      <c r="H2" s="5" t="s">
        <v>1</v>
      </c>
    </row>
    <row r="3" spans="1:8" x14ac:dyDescent="0.2">
      <c r="A3" s="7" t="s">
        <v>2</v>
      </c>
      <c r="E3" s="8"/>
    </row>
    <row r="4" spans="1:8" x14ac:dyDescent="0.2">
      <c r="A4" s="1" t="s">
        <v>394</v>
      </c>
      <c r="B4" s="1" t="str">
        <f>VLOOKUP(A4,'[1]SQL DATA'!$B:$J,3,FALSE)</f>
        <v>Transfer from Reserves - Shop &amp; Yard</v>
      </c>
      <c r="C4" s="20">
        <f>VLOOKUP(A4,'[1]SQL DATA'!$B:$K,10,FALSE)</f>
        <v>0</v>
      </c>
      <c r="D4" s="73">
        <f>VLOOKUP(A4,'[1]SQL DATA'!$B:$J,9,FALSE)</f>
        <v>0</v>
      </c>
      <c r="E4" s="50">
        <f>VLOOKUP(A4,'[1]SQL DATA'!$B:$J,7,FALSE)</f>
        <v>0</v>
      </c>
      <c r="F4" s="49">
        <f>VLOOKUP(A4,'[1]SQL DATA'!$B:$J,6,FALSE)</f>
        <v>0</v>
      </c>
      <c r="G4" s="20">
        <v>12000</v>
      </c>
      <c r="H4" s="20">
        <f>60000+12000+5000</f>
        <v>77000</v>
      </c>
    </row>
    <row r="5" spans="1:8" ht="13.5" thickBot="1" x14ac:dyDescent="0.25">
      <c r="A5" s="1" t="s">
        <v>395</v>
      </c>
      <c r="B5" s="72"/>
      <c r="C5" s="118">
        <f>SUM(C3:C4)</f>
        <v>0</v>
      </c>
      <c r="D5" s="118">
        <f>SUM(D3:D4)</f>
        <v>0</v>
      </c>
      <c r="E5" s="70">
        <f>SUM(E3:E4)</f>
        <v>0</v>
      </c>
      <c r="F5" s="69">
        <f>SUM(F3:F4)</f>
        <v>0</v>
      </c>
      <c r="G5" s="118">
        <f t="shared" ref="G5:H5" si="0">SUM(G3:G4)</f>
        <v>12000</v>
      </c>
      <c r="H5" s="118">
        <f t="shared" si="0"/>
        <v>77000</v>
      </c>
    </row>
    <row r="6" spans="1:8" ht="13.5" thickTop="1" x14ac:dyDescent="0.2">
      <c r="A6" s="1" t="s">
        <v>8</v>
      </c>
      <c r="D6" s="73"/>
      <c r="E6" s="50"/>
      <c r="F6" s="49"/>
      <c r="G6" s="73"/>
      <c r="H6" s="73"/>
    </row>
    <row r="7" spans="1:8" x14ac:dyDescent="0.2">
      <c r="A7" s="7" t="s">
        <v>9</v>
      </c>
      <c r="D7" s="73"/>
      <c r="E7" s="50"/>
      <c r="F7" s="49"/>
      <c r="G7" s="73"/>
      <c r="H7" s="73"/>
    </row>
    <row r="8" spans="1:8" x14ac:dyDescent="0.2">
      <c r="A8" s="45" t="s">
        <v>51</v>
      </c>
      <c r="B8" s="45"/>
      <c r="C8" s="45"/>
      <c r="D8" s="121"/>
      <c r="E8" s="190"/>
      <c r="F8" s="122"/>
      <c r="G8" s="121"/>
      <c r="H8" s="121"/>
    </row>
    <row r="9" spans="1:8" x14ac:dyDescent="0.2">
      <c r="A9" s="1" t="s">
        <v>396</v>
      </c>
      <c r="B9" s="1" t="str">
        <f>VLOOKUP(A9,'[1]SQL DATA'!$B:$J,3,FALSE)</f>
        <v>TS - Const. - Salaries - Shop &amp; Yard</v>
      </c>
      <c r="C9" s="160">
        <f>VLOOKUP(A9,'[1]SQL DATA'!$B:$K,10,FALSE)</f>
        <v>0</v>
      </c>
      <c r="D9" s="187">
        <f>VLOOKUP(A9,'[1]SQL DATA'!$B:$J,9,FALSE)</f>
        <v>0</v>
      </c>
      <c r="E9" s="50">
        <f>VLOOKUP(A9,'[1]SQL DATA'!$B:$J,7,FALSE)</f>
        <v>42163.45</v>
      </c>
      <c r="F9" s="49">
        <f>VLOOKUP(A9,'[1]SQL DATA'!$B:$J,6,FALSE)</f>
        <v>19990.900000000001</v>
      </c>
      <c r="G9" s="73">
        <v>27900</v>
      </c>
      <c r="H9" s="73">
        <v>33940</v>
      </c>
    </row>
    <row r="10" spans="1:8" x14ac:dyDescent="0.2">
      <c r="A10" s="1" t="s">
        <v>397</v>
      </c>
      <c r="B10" s="1" t="str">
        <f>VLOOKUP(A10,'[1]SQL DATA'!$B:$J,3,FALSE)</f>
        <v>TS - Const. - Benefits - Shop/Yard</v>
      </c>
      <c r="C10" s="20">
        <f>VLOOKUP(A10,'[1]SQL DATA'!$B:$K,10,FALSE)</f>
        <v>6316.46</v>
      </c>
      <c r="D10" s="73">
        <f>VLOOKUP(A10,'[1]SQL DATA'!$B:$J,9,FALSE)</f>
        <v>5680.88</v>
      </c>
      <c r="E10" s="50">
        <f>VLOOKUP(A10,'[1]SQL DATA'!$B:$J,7,FALSE)</f>
        <v>8365.94</v>
      </c>
      <c r="F10" s="49">
        <f>VLOOKUP(A10,'[1]SQL DATA'!$B:$J,6,FALSE)</f>
        <v>2768.87</v>
      </c>
      <c r="G10" s="73">
        <v>5700</v>
      </c>
      <c r="H10" s="73">
        <v>7470</v>
      </c>
    </row>
    <row r="11" spans="1:8" x14ac:dyDescent="0.2">
      <c r="A11" s="9" t="s">
        <v>58</v>
      </c>
      <c r="B11" s="72"/>
      <c r="C11" s="30">
        <f>SUM(C9:C10)</f>
        <v>6316.46</v>
      </c>
      <c r="D11" s="30">
        <f>SUM(D9:D10)</f>
        <v>5680.88</v>
      </c>
      <c r="E11" s="19">
        <f>SUM(E9:E10)</f>
        <v>50529.39</v>
      </c>
      <c r="F11" s="18">
        <f>SUM(F9:F10)</f>
        <v>22759.77</v>
      </c>
      <c r="G11" s="30">
        <f t="shared" ref="G11:H11" si="1">SUM(G9:G10)</f>
        <v>33600</v>
      </c>
      <c r="H11" s="30">
        <f t="shared" si="1"/>
        <v>41410</v>
      </c>
    </row>
    <row r="12" spans="1:8" x14ac:dyDescent="0.2">
      <c r="A12" s="9"/>
      <c r="B12" s="81"/>
      <c r="C12" s="81"/>
      <c r="D12" s="73"/>
      <c r="E12" s="50"/>
      <c r="F12" s="49"/>
      <c r="G12" s="73"/>
      <c r="H12" s="73"/>
    </row>
    <row r="13" spans="1:8" x14ac:dyDescent="0.2">
      <c r="A13" s="58" t="s">
        <v>111</v>
      </c>
      <c r="B13" s="81"/>
      <c r="C13" s="81"/>
      <c r="D13" s="73"/>
      <c r="E13" s="50"/>
      <c r="F13" s="49"/>
      <c r="G13" s="73"/>
      <c r="H13" s="73"/>
    </row>
    <row r="14" spans="1:8" x14ac:dyDescent="0.2">
      <c r="A14" s="1" t="s">
        <v>398</v>
      </c>
      <c r="B14" s="1" t="str">
        <f>VLOOKUP(A14,'[1]SQL DATA'!$B:$J,3,FALSE)</f>
        <v>TS - Const. - Maint. Building</v>
      </c>
      <c r="C14" s="20">
        <f>VLOOKUP(A14,'[1]SQL DATA'!$B:$K,10,FALSE)</f>
        <v>16606.099999999999</v>
      </c>
      <c r="D14" s="73">
        <f>VLOOKUP(A14,'[1]SQL DATA'!$B:$J,9,FALSE)</f>
        <v>32730.53</v>
      </c>
      <c r="E14" s="50">
        <f>VLOOKUP(A14,'[1]SQL DATA'!$B:$J,7,FALSE)</f>
        <v>2580.6799999999998</v>
      </c>
      <c r="F14" s="49">
        <f>VLOOKUP(A14,'[1]SQL DATA'!$B:$J,6,FALSE)</f>
        <v>6126.82</v>
      </c>
      <c r="G14" s="73">
        <v>15000</v>
      </c>
      <c r="H14" s="73">
        <f>15000+15000</f>
        <v>30000</v>
      </c>
    </row>
    <row r="15" spans="1:8" x14ac:dyDescent="0.2">
      <c r="A15" s="1" t="s">
        <v>399</v>
      </c>
      <c r="B15" s="1" t="str">
        <f>VLOOKUP(A15,'[1]SQL DATA'!$B:$J,3,FALSE)</f>
        <v>TS - Const. - Pur of Cap Assets</v>
      </c>
      <c r="C15" s="20">
        <f>VLOOKUP(A15,'[1]SQL DATA'!$B:$K,10,FALSE)</f>
        <v>0</v>
      </c>
      <c r="D15" s="73">
        <f>VLOOKUP(A15,'[1]SQL DATA'!$B:$J,9,FALSE)</f>
        <v>0</v>
      </c>
      <c r="E15" s="50">
        <f>VLOOKUP(A15,'[1]SQL DATA'!$B:$J,7,FALSE)</f>
        <v>0</v>
      </c>
      <c r="F15" s="49">
        <f>VLOOKUP(A15,'[1]SQL DATA'!$B:$J,6,FALSE)</f>
        <v>0</v>
      </c>
      <c r="G15" s="73">
        <v>0</v>
      </c>
      <c r="H15" s="73">
        <v>65000</v>
      </c>
    </row>
    <row r="16" spans="1:8" x14ac:dyDescent="0.2">
      <c r="A16" s="188" t="s">
        <v>400</v>
      </c>
      <c r="B16" s="188" t="str">
        <f>VLOOKUP(A16,'[1]SQL DATA'!$B:$J,3,FALSE)</f>
        <v>Transfer to Reserves - Building Maint</v>
      </c>
      <c r="C16" s="29">
        <f>VLOOKUP(A16,'[1]SQL DATA'!$B:$K,10,FALSE)</f>
        <v>0</v>
      </c>
      <c r="D16" s="189">
        <f>VLOOKUP(A16,'[1]SQL DATA'!$B:$J,9,FALSE)</f>
        <v>12000</v>
      </c>
      <c r="E16" s="189">
        <f>VLOOKUP(A16,'[1]SQL DATA'!$B:$J,7,FALSE)</f>
        <v>0</v>
      </c>
      <c r="F16" s="189">
        <f>VLOOKUP(A16,'[1]SQL DATA'!$B:$J,6,FALSE)</f>
        <v>0</v>
      </c>
      <c r="G16" s="189">
        <v>0</v>
      </c>
      <c r="H16" s="189">
        <v>0</v>
      </c>
    </row>
    <row r="17" spans="1:8" x14ac:dyDescent="0.2">
      <c r="A17" s="34" t="s">
        <v>21</v>
      </c>
      <c r="B17" s="72"/>
      <c r="C17" s="30">
        <f t="shared" ref="C17:H17" si="2">C11+C14+C15+C16</f>
        <v>22922.559999999998</v>
      </c>
      <c r="D17" s="30">
        <f t="shared" si="2"/>
        <v>50411.409999999996</v>
      </c>
      <c r="E17" s="19">
        <f t="shared" si="2"/>
        <v>53110.07</v>
      </c>
      <c r="F17" s="18">
        <f t="shared" si="2"/>
        <v>28886.59</v>
      </c>
      <c r="G17" s="30">
        <f t="shared" si="2"/>
        <v>48600</v>
      </c>
      <c r="H17" s="30">
        <f t="shared" si="2"/>
        <v>136410</v>
      </c>
    </row>
    <row r="18" spans="1:8" x14ac:dyDescent="0.2">
      <c r="A18" s="34" t="s">
        <v>8</v>
      </c>
      <c r="C18" s="20"/>
      <c r="D18" s="20"/>
      <c r="E18" s="16"/>
      <c r="F18" s="15"/>
      <c r="G18" s="73"/>
      <c r="H18" s="73"/>
    </row>
    <row r="19" spans="1:8" ht="13.5" thickBot="1" x14ac:dyDescent="0.25">
      <c r="A19" s="34" t="s">
        <v>22</v>
      </c>
      <c r="B19" s="72"/>
      <c r="C19" s="69">
        <f t="shared" ref="C19:H19" si="3">(C5)-C17</f>
        <v>-22922.559999999998</v>
      </c>
      <c r="D19" s="69">
        <f t="shared" si="3"/>
        <v>-50411.409999999996</v>
      </c>
      <c r="E19" s="70">
        <f t="shared" si="3"/>
        <v>-53110.07</v>
      </c>
      <c r="F19" s="69">
        <f t="shared" si="3"/>
        <v>-28886.59</v>
      </c>
      <c r="G19" s="69">
        <f t="shared" si="3"/>
        <v>-36600</v>
      </c>
      <c r="H19" s="69">
        <f t="shared" si="3"/>
        <v>-59410</v>
      </c>
    </row>
    <row r="20" spans="1:8" ht="13.5" thickTop="1" x14ac:dyDescent="0.2">
      <c r="A20" s="51" t="s">
        <v>8</v>
      </c>
    </row>
    <row r="21" spans="1:8" x14ac:dyDescent="0.2">
      <c r="A21" s="1" t="s">
        <v>8</v>
      </c>
    </row>
    <row r="22" spans="1:8" x14ac:dyDescent="0.2">
      <c r="A22" s="1" t="s">
        <v>8</v>
      </c>
    </row>
    <row r="23" spans="1:8" x14ac:dyDescent="0.2">
      <c r="A23" s="1" t="s">
        <v>8</v>
      </c>
    </row>
    <row r="25" spans="1:8" x14ac:dyDescent="0.2">
      <c r="A25" s="1" t="s">
        <v>8</v>
      </c>
    </row>
    <row r="26" spans="1:8" x14ac:dyDescent="0.2">
      <c r="A26" s="1" t="s">
        <v>8</v>
      </c>
    </row>
    <row r="27" spans="1:8" x14ac:dyDescent="0.2">
      <c r="A27" s="1" t="s">
        <v>8</v>
      </c>
    </row>
  </sheetData>
  <pageMargins left="0.74803149606299213" right="0.74803149606299213" top="0.56712962962962965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Shop &amp; Yard Maint
</oddHeader>
    <oddFooter>&amp;L&amp;P of &amp;N &amp;C&amp;R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D816F-B529-4D29-910E-34B2FE8125E4}">
  <dimension ref="A1:H45"/>
  <sheetViews>
    <sheetView topLeftCell="A16" zoomScale="150" zoomScaleNormal="150" zoomScalePageLayoutView="90" workbookViewId="0">
      <selection activeCell="G9" sqref="G9"/>
    </sheetView>
  </sheetViews>
  <sheetFormatPr defaultColWidth="8.85546875" defaultRowHeight="12.75" x14ac:dyDescent="0.2"/>
  <cols>
    <col min="1" max="1" width="12.42578125" style="1" customWidth="1"/>
    <col min="2" max="2" width="21" style="1" customWidth="1"/>
    <col min="3" max="6" width="9.140625" style="1" bestFit="1" customWidth="1"/>
    <col min="7" max="7" width="10.85546875" style="1" customWidth="1"/>
    <col min="8" max="8" width="9.140625" style="1" bestFit="1" customWidth="1"/>
    <col min="9" max="16384" width="8.85546875" style="1"/>
  </cols>
  <sheetData>
    <row r="1" spans="1:8" x14ac:dyDescent="0.2">
      <c r="B1" s="71"/>
      <c r="C1" s="2">
        <v>2019</v>
      </c>
      <c r="D1" s="2">
        <v>2020</v>
      </c>
      <c r="E1" s="3">
        <v>2021</v>
      </c>
      <c r="F1" s="2">
        <v>2022</v>
      </c>
      <c r="G1" s="2">
        <v>2021</v>
      </c>
      <c r="H1" s="2">
        <v>2022</v>
      </c>
    </row>
    <row r="2" spans="1:8" x14ac:dyDescent="0.2">
      <c r="B2" s="2"/>
      <c r="C2" s="4" t="s">
        <v>0</v>
      </c>
      <c r="D2" s="5" t="s">
        <v>0</v>
      </c>
      <c r="E2" s="6" t="s">
        <v>0</v>
      </c>
      <c r="F2" s="5" t="s">
        <v>0</v>
      </c>
      <c r="G2" s="5" t="s">
        <v>1</v>
      </c>
      <c r="H2" s="5" t="s">
        <v>1</v>
      </c>
    </row>
    <row r="3" spans="1:8" x14ac:dyDescent="0.2">
      <c r="A3" s="7" t="s">
        <v>239</v>
      </c>
      <c r="B3" s="2"/>
      <c r="C3" s="2"/>
      <c r="D3" s="2"/>
      <c r="E3" s="3"/>
      <c r="F3" s="2"/>
      <c r="G3" s="2"/>
      <c r="H3" s="2"/>
    </row>
    <row r="4" spans="1:8" x14ac:dyDescent="0.2">
      <c r="A4" s="1" t="s">
        <v>104</v>
      </c>
      <c r="E4" s="8"/>
    </row>
    <row r="5" spans="1:8" x14ac:dyDescent="0.2">
      <c r="A5" s="1" t="s">
        <v>401</v>
      </c>
      <c r="B5" s="1" t="str">
        <f>VLOOKUP(A5,'[1]SQL DATA'!$B:$J,3,FALSE)</f>
        <v>Transfer from Reserves - Streets &amp; Storm</v>
      </c>
      <c r="C5" s="83">
        <f>VLOOKUP(A5,'[1]SQL DATA'!$B:$K,10,FALSE)</f>
        <v>0</v>
      </c>
      <c r="D5" s="83">
        <f>VLOOKUP(A5,'[1]SQL DATA'!$B:$J,9,FALSE)</f>
        <v>58000</v>
      </c>
      <c r="E5" s="85">
        <f>VLOOKUP(A5,'[1]SQL DATA'!$B:$J,7,FALSE)</f>
        <v>0</v>
      </c>
      <c r="F5" s="84">
        <f>VLOOKUP(A5,'[1]SQL DATA'!$B:$J,6,FALSE)</f>
        <v>0</v>
      </c>
      <c r="G5" s="83">
        <v>75000</v>
      </c>
      <c r="H5" s="83">
        <f>300000+50000+52200</f>
        <v>402200</v>
      </c>
    </row>
    <row r="6" spans="1:8" x14ac:dyDescent="0.2">
      <c r="A6" s="9" t="s">
        <v>27</v>
      </c>
      <c r="C6" s="73">
        <f>+C5</f>
        <v>0</v>
      </c>
      <c r="D6" s="73">
        <f>+D5</f>
        <v>58000</v>
      </c>
      <c r="E6" s="50">
        <f>+E5</f>
        <v>0</v>
      </c>
      <c r="F6" s="49">
        <f>+F5</f>
        <v>0</v>
      </c>
      <c r="G6" s="73">
        <f t="shared" ref="G6:H6" si="0">+G5</f>
        <v>75000</v>
      </c>
      <c r="H6" s="73">
        <f t="shared" si="0"/>
        <v>402200</v>
      </c>
    </row>
    <row r="7" spans="1:8" x14ac:dyDescent="0.2">
      <c r="A7" s="9"/>
      <c r="B7" s="72"/>
      <c r="C7" s="87"/>
      <c r="D7" s="87"/>
      <c r="E7" s="53"/>
      <c r="F7" s="52"/>
      <c r="G7" s="87"/>
      <c r="H7" s="87"/>
    </row>
    <row r="8" spans="1:8" x14ac:dyDescent="0.2">
      <c r="A8" s="51" t="s">
        <v>7</v>
      </c>
      <c r="B8" s="72"/>
      <c r="C8" s="30">
        <f t="shared" ref="C8:H8" si="1">C6+C7</f>
        <v>0</v>
      </c>
      <c r="D8" s="30">
        <f t="shared" si="1"/>
        <v>58000</v>
      </c>
      <c r="E8" s="19">
        <f t="shared" si="1"/>
        <v>0</v>
      </c>
      <c r="F8" s="18">
        <f t="shared" si="1"/>
        <v>0</v>
      </c>
      <c r="G8" s="30">
        <f t="shared" si="1"/>
        <v>75000</v>
      </c>
      <c r="H8" s="30">
        <f t="shared" si="1"/>
        <v>402200</v>
      </c>
    </row>
    <row r="9" spans="1:8" x14ac:dyDescent="0.2">
      <c r="A9" s="51"/>
      <c r="B9" s="72"/>
      <c r="C9" s="72"/>
      <c r="D9" s="87"/>
      <c r="E9" s="53"/>
      <c r="F9" s="52"/>
      <c r="G9" s="87"/>
      <c r="H9" s="87"/>
    </row>
    <row r="10" spans="1:8" x14ac:dyDescent="0.2">
      <c r="A10" s="7" t="s">
        <v>9</v>
      </c>
      <c r="D10" s="73"/>
      <c r="E10" s="50"/>
      <c r="F10" s="49"/>
      <c r="G10" s="73"/>
      <c r="H10" s="73"/>
    </row>
    <row r="11" spans="1:8" x14ac:dyDescent="0.2">
      <c r="A11" s="45" t="s">
        <v>51</v>
      </c>
      <c r="B11" s="14"/>
      <c r="C11" s="14"/>
      <c r="D11" s="73"/>
      <c r="E11" s="50"/>
      <c r="F11" s="49"/>
      <c r="G11" s="73"/>
      <c r="H11" s="73"/>
    </row>
    <row r="12" spans="1:8" x14ac:dyDescent="0.2">
      <c r="A12" s="1" t="s">
        <v>402</v>
      </c>
      <c r="B12" s="1" t="str">
        <f>VLOOKUP(A12,'[1]SQL DATA'!$B:$J,3,FALSE)</f>
        <v>TS - Const. - Salaries - Streets</v>
      </c>
      <c r="C12" s="160">
        <f>VLOOKUP(A12,'[1]SQL DATA'!$B:$K,10,FALSE)</f>
        <v>0</v>
      </c>
      <c r="D12" s="187">
        <f>VLOOKUP(A12,'[1]SQL DATA'!$B:$J,9,FALSE)</f>
        <v>0</v>
      </c>
      <c r="E12" s="50">
        <f>VLOOKUP(A12,'[1]SQL DATA'!$B:$J,7,FALSE)</f>
        <v>79858.66</v>
      </c>
      <c r="F12" s="49">
        <f>VLOOKUP(A12,'[1]SQL DATA'!$B:$J,6,FALSE)</f>
        <v>48947.19</v>
      </c>
      <c r="G12" s="73">
        <v>90000</v>
      </c>
      <c r="H12" s="73">
        <v>91950</v>
      </c>
    </row>
    <row r="13" spans="1:8" x14ac:dyDescent="0.2">
      <c r="A13" s="1" t="s">
        <v>403</v>
      </c>
      <c r="B13" s="1" t="str">
        <f>VLOOKUP(A13,'[1]SQL DATA'!$B:$J,3,FALSE)</f>
        <v>TS - Const. - Benefits - Streets</v>
      </c>
      <c r="C13" s="20">
        <f>VLOOKUP(A13,'[1]SQL DATA'!$B:$K,10,FALSE)</f>
        <v>19250.849999999999</v>
      </c>
      <c r="D13" s="73">
        <f>VLOOKUP(A13,'[1]SQL DATA'!$B:$J,9,FALSE)</f>
        <v>18588.37</v>
      </c>
      <c r="E13" s="50">
        <f>VLOOKUP(A13,'[1]SQL DATA'!$B:$J,7,FALSE)</f>
        <v>17825.36</v>
      </c>
      <c r="F13" s="49">
        <f>VLOOKUP(A13,'[1]SQL DATA'!$B:$J,6,FALSE)</f>
        <v>7866.84</v>
      </c>
      <c r="G13" s="73">
        <v>18870</v>
      </c>
      <c r="H13" s="73">
        <v>20230</v>
      </c>
    </row>
    <row r="14" spans="1:8" x14ac:dyDescent="0.2">
      <c r="A14" s="9" t="s">
        <v>58</v>
      </c>
      <c r="B14" s="72"/>
      <c r="C14" s="66">
        <f t="shared" ref="C14:H14" si="2">SUM(C12:C13)</f>
        <v>19250.849999999999</v>
      </c>
      <c r="D14" s="66">
        <f t="shared" si="2"/>
        <v>18588.37</v>
      </c>
      <c r="E14" s="68">
        <f t="shared" si="2"/>
        <v>97684.02</v>
      </c>
      <c r="F14" s="67">
        <f t="shared" si="2"/>
        <v>56814.03</v>
      </c>
      <c r="G14" s="66">
        <f t="shared" si="2"/>
        <v>108870</v>
      </c>
      <c r="H14" s="66">
        <f t="shared" si="2"/>
        <v>112180</v>
      </c>
    </row>
    <row r="15" spans="1:8" x14ac:dyDescent="0.2">
      <c r="A15" s="1" t="s">
        <v>8</v>
      </c>
      <c r="D15" s="73"/>
      <c r="E15" s="50"/>
      <c r="F15" s="49"/>
      <c r="G15" s="73"/>
      <c r="H15" s="73"/>
    </row>
    <row r="16" spans="1:8" x14ac:dyDescent="0.2">
      <c r="A16" s="58" t="s">
        <v>59</v>
      </c>
      <c r="D16" s="73"/>
      <c r="E16" s="50"/>
      <c r="F16" s="49"/>
      <c r="G16" s="73"/>
      <c r="H16" s="73"/>
    </row>
    <row r="17" spans="1:8" x14ac:dyDescent="0.2">
      <c r="A17" s="1" t="s">
        <v>404</v>
      </c>
      <c r="B17" s="1" t="str">
        <f>VLOOKUP(A17,'[1]SQL DATA'!$B:$J,3,FALSE)</f>
        <v>TS - Const. - Contract - Streets &amp; Roads</v>
      </c>
      <c r="C17" s="20">
        <f>VLOOKUP(A17,'[1]SQL DATA'!$B:$K,10,FALSE)</f>
        <v>21373.25</v>
      </c>
      <c r="D17" s="73">
        <f>VLOOKUP(A17,'[1]SQL DATA'!$B:$J,9,FALSE)</f>
        <v>16501.71</v>
      </c>
      <c r="E17" s="50">
        <f>VLOOKUP(A17,'[1]SQL DATA'!$B:$J,7,FALSE)</f>
        <v>10945.32</v>
      </c>
      <c r="F17" s="49">
        <f>VLOOKUP(A17,'[1]SQL DATA'!$B:$J,6,FALSE)</f>
        <v>9996.5</v>
      </c>
      <c r="G17" s="73">
        <v>35000</v>
      </c>
      <c r="H17" s="73">
        <v>35000</v>
      </c>
    </row>
    <row r="18" spans="1:8" x14ac:dyDescent="0.2">
      <c r="A18" s="9" t="s">
        <v>66</v>
      </c>
      <c r="B18" s="72"/>
      <c r="C18" s="66">
        <f>SUM(C17:C17)</f>
        <v>21373.25</v>
      </c>
      <c r="D18" s="66">
        <f>SUM(D17:D17)</f>
        <v>16501.71</v>
      </c>
      <c r="E18" s="68">
        <f>SUM(E17:E17)</f>
        <v>10945.32</v>
      </c>
      <c r="F18" s="67">
        <f>SUM(F17:F17)</f>
        <v>9996.5</v>
      </c>
      <c r="G18" s="66">
        <f t="shared" ref="G18:H18" si="3">SUM(G17:G17)</f>
        <v>35000</v>
      </c>
      <c r="H18" s="66">
        <f t="shared" si="3"/>
        <v>35000</v>
      </c>
    </row>
    <row r="19" spans="1:8" x14ac:dyDescent="0.2">
      <c r="A19" s="1" t="s">
        <v>8</v>
      </c>
      <c r="D19" s="73"/>
      <c r="E19" s="50"/>
      <c r="F19" s="49"/>
      <c r="G19" s="73"/>
      <c r="H19" s="73"/>
    </row>
    <row r="20" spans="1:8" x14ac:dyDescent="0.2">
      <c r="A20" s="58" t="s">
        <v>67</v>
      </c>
      <c r="D20" s="73"/>
      <c r="E20" s="50"/>
      <c r="F20" s="49"/>
      <c r="G20" s="73"/>
      <c r="H20" s="73"/>
    </row>
    <row r="21" spans="1:8" x14ac:dyDescent="0.2">
      <c r="A21" s="1" t="s">
        <v>405</v>
      </c>
      <c r="B21" s="1" t="str">
        <f>VLOOKUP(A21,'[1]SQL DATA'!$B:$J,3,FALSE)</f>
        <v>TS - Const. - Street Lights</v>
      </c>
      <c r="C21" s="20">
        <f>VLOOKUP(A21,'[1]SQL DATA'!$B:$K,10,FALSE)</f>
        <v>0</v>
      </c>
      <c r="D21" s="73">
        <f>VLOOKUP(A21,'[1]SQL DATA'!$B:$J,9,FALSE)</f>
        <v>0</v>
      </c>
      <c r="E21" s="50">
        <f>VLOOKUP(A21,'[1]SQL DATA'!$B:$J,7,FALSE)</f>
        <v>42692.42</v>
      </c>
      <c r="F21" s="49">
        <f>VLOOKUP(A21,'[1]SQL DATA'!$B:$J,6,FALSE)</f>
        <v>27206.44</v>
      </c>
      <c r="G21" s="73">
        <v>46500</v>
      </c>
      <c r="H21" s="73">
        <v>46500</v>
      </c>
    </row>
    <row r="22" spans="1:8" x14ac:dyDescent="0.2">
      <c r="A22" s="9" t="s">
        <v>72</v>
      </c>
      <c r="B22" s="72"/>
      <c r="C22" s="66">
        <f>SUM(C21)</f>
        <v>0</v>
      </c>
      <c r="D22" s="66">
        <f>SUM(D21)</f>
        <v>0</v>
      </c>
      <c r="E22" s="68">
        <f>SUM(E21)</f>
        <v>42692.42</v>
      </c>
      <c r="F22" s="67">
        <f>SUM(F21)</f>
        <v>27206.44</v>
      </c>
      <c r="G22" s="66">
        <f t="shared" ref="G22:H22" si="4">SUM(G21)</f>
        <v>46500</v>
      </c>
      <c r="H22" s="66">
        <f t="shared" si="4"/>
        <v>46500</v>
      </c>
    </row>
    <row r="23" spans="1:8" x14ac:dyDescent="0.2">
      <c r="A23" s="1" t="s">
        <v>8</v>
      </c>
      <c r="D23" s="73"/>
      <c r="E23" s="50"/>
      <c r="F23" s="49"/>
      <c r="G23" s="73"/>
      <c r="H23" s="73"/>
    </row>
    <row r="24" spans="1:8" x14ac:dyDescent="0.2">
      <c r="A24" s="58" t="s">
        <v>111</v>
      </c>
      <c r="D24" s="73"/>
      <c r="E24" s="50"/>
      <c r="F24" s="49"/>
      <c r="G24" s="73"/>
      <c r="H24" s="73"/>
    </row>
    <row r="25" spans="1:8" x14ac:dyDescent="0.2">
      <c r="A25" s="1" t="s">
        <v>406</v>
      </c>
      <c r="B25" s="1" t="str">
        <f>VLOOKUP(A25,'[1]SQL DATA'!$B:$J,3,FALSE)</f>
        <v>TS - Const. - Maint. Supplies - Streets</v>
      </c>
      <c r="C25" s="20">
        <f>VLOOKUP(A25,'[1]SQL DATA'!$B:$K,10,FALSE)</f>
        <v>821.56</v>
      </c>
      <c r="D25" s="73">
        <f>VLOOKUP(A25,'[1]SQL DATA'!$B:$J,9,FALSE)</f>
        <v>7826.85</v>
      </c>
      <c r="E25" s="50">
        <f>VLOOKUP(A25,'[1]SQL DATA'!$B:$J,7,FALSE)</f>
        <v>3230.38</v>
      </c>
      <c r="F25" s="49">
        <f>VLOOKUP(A25,'[1]SQL DATA'!$B:$J,6,FALSE)</f>
        <v>2539.46</v>
      </c>
      <c r="G25" s="73">
        <v>2000</v>
      </c>
      <c r="H25" s="73">
        <v>2000</v>
      </c>
    </row>
    <row r="26" spans="1:8" x14ac:dyDescent="0.2">
      <c r="A26" s="1" t="s">
        <v>407</v>
      </c>
      <c r="B26" s="1" t="str">
        <f>VLOOKUP(A26,'[1]SQL DATA'!$B:$J,3,FALSE)</f>
        <v>TS - Const. - Gravel/Sand</v>
      </c>
      <c r="C26" s="20">
        <f>VLOOKUP(A26,'[1]SQL DATA'!$B:$K,10,FALSE)</f>
        <v>0</v>
      </c>
      <c r="D26" s="73">
        <f>VLOOKUP(A26,'[1]SQL DATA'!$B:$J,9,FALSE)</f>
        <v>46752.14</v>
      </c>
      <c r="E26" s="50">
        <f>VLOOKUP(A26,'[1]SQL DATA'!$B:$J,7,FALSE)</f>
        <v>58531.5</v>
      </c>
      <c r="F26" s="49">
        <f>VLOOKUP(A26,'[1]SQL DATA'!$B:$J,6,FALSE)</f>
        <v>0</v>
      </c>
      <c r="G26" s="73">
        <v>56000</v>
      </c>
      <c r="H26" s="73">
        <v>60000</v>
      </c>
    </row>
    <row r="27" spans="1:8" x14ac:dyDescent="0.2">
      <c r="A27" s="1" t="s">
        <v>408</v>
      </c>
      <c r="B27" s="1" t="str">
        <f>VLOOKUP(A27,'[1]SQL DATA'!$B:$J,3,FALSE)</f>
        <v>TS - Const. - Asphalt/Surfacing Material</v>
      </c>
      <c r="C27" s="20">
        <f>VLOOKUP(A27,'[1]SQL DATA'!$B:$K,10,FALSE)</f>
        <v>64588.41</v>
      </c>
      <c r="D27" s="73">
        <f>VLOOKUP(A27,'[1]SQL DATA'!$B:$J,9,FALSE)</f>
        <v>24407.21</v>
      </c>
      <c r="E27" s="50">
        <f>VLOOKUP(A27,'[1]SQL DATA'!$B:$J,7,FALSE)</f>
        <v>47000.4</v>
      </c>
      <c r="F27" s="49">
        <f>VLOOKUP(A27,'[1]SQL DATA'!$B:$J,6,FALSE)</f>
        <v>39758.269999999997</v>
      </c>
      <c r="G27" s="73">
        <v>61000</v>
      </c>
      <c r="H27" s="73">
        <v>61000</v>
      </c>
    </row>
    <row r="28" spans="1:8" x14ac:dyDescent="0.2">
      <c r="A28" s="1" t="s">
        <v>409</v>
      </c>
      <c r="B28" s="1" t="str">
        <f>VLOOKUP(A28,'[1]SQL DATA'!$B:$J,3,FALSE)</f>
        <v>TS - Const. - Dust Control</v>
      </c>
      <c r="C28" s="20">
        <f>VLOOKUP(A28,'[1]SQL DATA'!$B:$K,10,FALSE)</f>
        <v>5385.33</v>
      </c>
      <c r="D28" s="73">
        <f>VLOOKUP(A28,'[1]SQL DATA'!$B:$J,9,FALSE)</f>
        <v>2673.25</v>
      </c>
      <c r="E28" s="50">
        <f>VLOOKUP(A28,'[1]SQL DATA'!$B:$J,7,FALSE)</f>
        <v>4186.41</v>
      </c>
      <c r="F28" s="49">
        <f>VLOOKUP(A28,'[1]SQL DATA'!$B:$J,6,FALSE)</f>
        <v>14133.25</v>
      </c>
      <c r="G28" s="73">
        <v>6000</v>
      </c>
      <c r="H28" s="73">
        <v>6000</v>
      </c>
    </row>
    <row r="29" spans="1:8" x14ac:dyDescent="0.2">
      <c r="A29" s="1" t="s">
        <v>410</v>
      </c>
      <c r="B29" s="1" t="str">
        <f>VLOOKUP(A29,'[1]SQL DATA'!$B:$J,3,FALSE)</f>
        <v>TS - Const. - Traffic Signs/Signals/Mark</v>
      </c>
      <c r="C29" s="20">
        <f>VLOOKUP(A29,'[1]SQL DATA'!$B:$K,10,FALSE)</f>
        <v>3048.41</v>
      </c>
      <c r="D29" s="73">
        <f>VLOOKUP(A29,'[1]SQL DATA'!$B:$J,9,FALSE)</f>
        <v>3071.82</v>
      </c>
      <c r="E29" s="50">
        <f>VLOOKUP(A29,'[1]SQL DATA'!$B:$J,7,FALSE)</f>
        <v>4503.07</v>
      </c>
      <c r="F29" s="49">
        <f>VLOOKUP(A29,'[1]SQL DATA'!$B:$J,6,FALSE)</f>
        <v>712.8</v>
      </c>
      <c r="G29" s="73">
        <v>2000</v>
      </c>
      <c r="H29" s="73">
        <v>2000</v>
      </c>
    </row>
    <row r="30" spans="1:8" x14ac:dyDescent="0.2">
      <c r="A30" s="9" t="s">
        <v>411</v>
      </c>
      <c r="C30" s="66">
        <f>SUM(C25:C29)</f>
        <v>73843.710000000006</v>
      </c>
      <c r="D30" s="66">
        <f>SUM(D25:D29)</f>
        <v>84731.27</v>
      </c>
      <c r="E30" s="68">
        <f>SUM(E25:E29)</f>
        <v>117451.76000000001</v>
      </c>
      <c r="F30" s="67">
        <f>SUM(F25:F29)</f>
        <v>57143.78</v>
      </c>
      <c r="G30" s="66">
        <f t="shared" ref="G30:H30" si="5">SUM(G25:G29)</f>
        <v>127000</v>
      </c>
      <c r="H30" s="66">
        <f t="shared" si="5"/>
        <v>131000</v>
      </c>
    </row>
    <row r="31" spans="1:8" x14ac:dyDescent="0.2">
      <c r="A31" s="9"/>
      <c r="B31" s="82"/>
      <c r="C31" s="82"/>
      <c r="D31" s="73"/>
      <c r="E31" s="50"/>
      <c r="F31" s="49"/>
      <c r="G31" s="73"/>
      <c r="H31" s="73"/>
    </row>
    <row r="32" spans="1:8" x14ac:dyDescent="0.2">
      <c r="A32" s="58" t="s">
        <v>89</v>
      </c>
      <c r="D32" s="73"/>
      <c r="E32" s="50"/>
      <c r="F32" s="49"/>
      <c r="G32" s="73"/>
      <c r="H32" s="73"/>
    </row>
    <row r="33" spans="1:8" x14ac:dyDescent="0.2">
      <c r="A33" s="1" t="s">
        <v>412</v>
      </c>
      <c r="B33" s="1" t="str">
        <f>VLOOKUP(A33,'[1]SQL DATA'!$B:$J,3,FALSE)</f>
        <v>TS - Const. - Amortization Expense</v>
      </c>
      <c r="C33" s="20">
        <f>VLOOKUP(A33,'[1]SQL DATA'!$B:$K,10,FALSE)</f>
        <v>38870</v>
      </c>
      <c r="D33" s="73">
        <f>VLOOKUP(A33,'[1]SQL DATA'!$B:$J,9,FALSE)</f>
        <v>70211.62</v>
      </c>
      <c r="E33" s="50">
        <f>VLOOKUP(A33,'[1]SQL DATA'!$B:$J,7,FALSE)</f>
        <v>75313.13</v>
      </c>
      <c r="F33" s="49">
        <f>VLOOKUP(A33,'[1]SQL DATA'!$B:$J,6,FALSE)</f>
        <v>0</v>
      </c>
      <c r="G33" s="73">
        <v>0</v>
      </c>
      <c r="H33" s="73">
        <v>0</v>
      </c>
    </row>
    <row r="34" spans="1:8" x14ac:dyDescent="0.2">
      <c r="A34" s="9" t="s">
        <v>91</v>
      </c>
      <c r="B34" s="81"/>
      <c r="C34" s="47">
        <f>SUM(C33)</f>
        <v>38870</v>
      </c>
      <c r="D34" s="47">
        <f>SUM(D33)</f>
        <v>70211.62</v>
      </c>
      <c r="E34" s="48">
        <f t="shared" ref="E34:H34" si="6">SUM(E33)</f>
        <v>75313.13</v>
      </c>
      <c r="F34" s="47">
        <f t="shared" si="6"/>
        <v>0</v>
      </c>
      <c r="G34" s="47">
        <f t="shared" si="6"/>
        <v>0</v>
      </c>
      <c r="H34" s="47">
        <f t="shared" si="6"/>
        <v>0</v>
      </c>
    </row>
    <row r="35" spans="1:8" x14ac:dyDescent="0.2">
      <c r="A35" s="9"/>
      <c r="B35" s="72"/>
      <c r="C35" s="72"/>
      <c r="D35" s="67"/>
      <c r="E35" s="68"/>
      <c r="F35" s="67"/>
      <c r="G35" s="67"/>
      <c r="H35" s="67"/>
    </row>
    <row r="36" spans="1:8" x14ac:dyDescent="0.2">
      <c r="A36" s="9"/>
      <c r="B36" s="72"/>
      <c r="C36" s="72"/>
      <c r="D36" s="87"/>
      <c r="E36" s="53"/>
      <c r="F36" s="52"/>
      <c r="G36" s="87"/>
      <c r="H36" s="87"/>
    </row>
    <row r="37" spans="1:8" x14ac:dyDescent="0.2">
      <c r="A37" s="58" t="s">
        <v>413</v>
      </c>
      <c r="D37" s="73"/>
      <c r="E37" s="50"/>
      <c r="F37" s="49"/>
      <c r="G37" s="73"/>
      <c r="H37" s="73"/>
    </row>
    <row r="38" spans="1:8" x14ac:dyDescent="0.2">
      <c r="A38" s="45" t="s">
        <v>414</v>
      </c>
      <c r="B38" s="1" t="str">
        <f>VLOOKUP(A38,'[1]SQL DATA'!$B:$J,3,FALSE)</f>
        <v>TS - Const. - Purchase of Cap Asset</v>
      </c>
      <c r="C38" s="20">
        <f>VLOOKUP(A38,'[1]SQL DATA'!$B:$K,10,FALSE)</f>
        <v>0</v>
      </c>
      <c r="D38" s="73">
        <f>VLOOKUP(A38,'[1]SQL DATA'!$B:$J,9,FALSE)</f>
        <v>0</v>
      </c>
      <c r="E38" s="50">
        <f>VLOOKUP(A38,'[1]SQL DATA'!$B:$J,7,FALSE)</f>
        <v>0</v>
      </c>
      <c r="F38" s="49">
        <f>VLOOKUP(A38,'[1]SQL DATA'!$B:$J,6,FALSE)</f>
        <v>395951.08</v>
      </c>
      <c r="G38" s="73">
        <v>50000</v>
      </c>
      <c r="H38" s="73">
        <f>400000+50000</f>
        <v>450000</v>
      </c>
    </row>
    <row r="39" spans="1:8" x14ac:dyDescent="0.2">
      <c r="A39" s="188" t="s">
        <v>415</v>
      </c>
      <c r="B39" s="188" t="str">
        <f>VLOOKUP(A39,'[1]SQL DATA'!$B:$J,3,FALSE)</f>
        <v>Transfer to Reserves - Streets/Storm Swr</v>
      </c>
      <c r="C39" s="29">
        <f>VLOOKUP(A39,'[1]SQL DATA'!$B:$K,10,FALSE)</f>
        <v>70411.59</v>
      </c>
      <c r="D39" s="189">
        <f>VLOOKUP(A39,'[1]SQL DATA'!$B:$J,9,FALSE)</f>
        <v>135000</v>
      </c>
      <c r="E39" s="189">
        <f>VLOOKUP(A39,'[1]SQL DATA'!$B:$J,7,FALSE)</f>
        <v>100000</v>
      </c>
      <c r="F39" s="189">
        <f>VLOOKUP(A39,'[1]SQL DATA'!$B:$J,6,FALSE)</f>
        <v>0</v>
      </c>
      <c r="G39" s="189">
        <v>100000</v>
      </c>
      <c r="H39" s="189">
        <f>25000+15000-15000</f>
        <v>25000</v>
      </c>
    </row>
    <row r="40" spans="1:8" x14ac:dyDescent="0.2">
      <c r="A40" s="9" t="s">
        <v>416</v>
      </c>
      <c r="B40" s="81"/>
      <c r="C40" s="66">
        <f t="shared" ref="C40:H40" si="7">SUM(C38:C39)</f>
        <v>70411.59</v>
      </c>
      <c r="D40" s="66">
        <f t="shared" si="7"/>
        <v>135000</v>
      </c>
      <c r="E40" s="68">
        <f t="shared" si="7"/>
        <v>100000</v>
      </c>
      <c r="F40" s="67">
        <f t="shared" si="7"/>
        <v>395951.08</v>
      </c>
      <c r="G40" s="66">
        <f t="shared" si="7"/>
        <v>150000</v>
      </c>
      <c r="H40" s="66">
        <f t="shared" si="7"/>
        <v>475000</v>
      </c>
    </row>
    <row r="41" spans="1:8" x14ac:dyDescent="0.2">
      <c r="A41" s="9"/>
      <c r="B41" s="81"/>
      <c r="C41" s="81"/>
      <c r="D41" s="20"/>
      <c r="E41" s="16"/>
      <c r="F41" s="15"/>
      <c r="G41" s="73"/>
      <c r="H41" s="73"/>
    </row>
    <row r="42" spans="1:8" x14ac:dyDescent="0.2">
      <c r="A42" s="51" t="s">
        <v>21</v>
      </c>
      <c r="B42" s="72"/>
      <c r="C42" s="18">
        <f t="shared" ref="C42:H42" si="8">C14+C18+C22+C30+C40</f>
        <v>184879.4</v>
      </c>
      <c r="D42" s="18">
        <f t="shared" si="8"/>
        <v>254821.35</v>
      </c>
      <c r="E42" s="19">
        <f t="shared" si="8"/>
        <v>368773.52</v>
      </c>
      <c r="F42" s="18">
        <f t="shared" si="8"/>
        <v>547111.83000000007</v>
      </c>
      <c r="G42" s="18">
        <f t="shared" si="8"/>
        <v>467370</v>
      </c>
      <c r="H42" s="18">
        <f t="shared" si="8"/>
        <v>799680</v>
      </c>
    </row>
    <row r="43" spans="1:8" x14ac:dyDescent="0.2">
      <c r="A43" s="51" t="s">
        <v>8</v>
      </c>
      <c r="D43" s="15"/>
      <c r="E43" s="16"/>
      <c r="F43" s="15"/>
      <c r="G43" s="15"/>
      <c r="H43" s="15"/>
    </row>
    <row r="44" spans="1:8" ht="15.75" customHeight="1" thickBot="1" x14ac:dyDescent="0.25">
      <c r="A44" s="74" t="s">
        <v>22</v>
      </c>
      <c r="B44" s="74"/>
      <c r="C44" s="69">
        <f>(C8)-C42</f>
        <v>-184879.4</v>
      </c>
      <c r="D44" s="69">
        <f>(D8)-D42</f>
        <v>-196821.35</v>
      </c>
      <c r="E44" s="70">
        <f t="shared" ref="E44:H44" si="9">(E8)-E42</f>
        <v>-368773.52</v>
      </c>
      <c r="F44" s="69">
        <f t="shared" si="9"/>
        <v>-547111.83000000007</v>
      </c>
      <c r="G44" s="69">
        <f t="shared" si="9"/>
        <v>-392370</v>
      </c>
      <c r="H44" s="69">
        <f t="shared" si="9"/>
        <v>-397480</v>
      </c>
    </row>
    <row r="45" spans="1:8" ht="13.5" thickTop="1" x14ac:dyDescent="0.2"/>
  </sheetData>
  <mergeCells count="1">
    <mergeCell ref="A44:B44"/>
  </mergeCells>
  <pageMargins left="0.74803149606299213" right="0.74803149606299213" top="0.55555555555555558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Street &amp; Storm Sewer
</oddHeader>
    <oddFooter>&amp;L&amp;P of &amp;N &amp;C&amp;R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57C94-3D9A-4829-8316-354D30F9440D}">
  <dimension ref="A1:H28"/>
  <sheetViews>
    <sheetView zoomScale="150" zoomScaleNormal="150" zoomScalePageLayoutView="90" workbookViewId="0">
      <selection activeCell="G9" sqref="G9"/>
    </sheetView>
  </sheetViews>
  <sheetFormatPr defaultColWidth="8.85546875" defaultRowHeight="12.75" x14ac:dyDescent="0.2"/>
  <cols>
    <col min="1" max="1" width="15.28515625" style="1" customWidth="1"/>
    <col min="2" max="2" width="22.42578125" style="1" customWidth="1"/>
    <col min="3" max="3" width="7.5703125" style="1" bestFit="1" customWidth="1"/>
    <col min="4" max="5" width="8.140625" style="1" bestFit="1" customWidth="1"/>
    <col min="6" max="6" width="7.140625" style="1" bestFit="1" customWidth="1"/>
    <col min="7" max="7" width="10.85546875" style="1" customWidth="1"/>
    <col min="8" max="8" width="9.140625" style="1" bestFit="1" customWidth="1"/>
    <col min="9" max="16384" width="8.85546875" style="1"/>
  </cols>
  <sheetData>
    <row r="1" spans="1:8" x14ac:dyDescent="0.2">
      <c r="B1" s="71"/>
      <c r="C1" s="2">
        <v>2019</v>
      </c>
      <c r="D1" s="2">
        <v>2020</v>
      </c>
      <c r="E1" s="3">
        <v>2021</v>
      </c>
      <c r="F1" s="2">
        <v>2022</v>
      </c>
      <c r="G1" s="2">
        <v>2021</v>
      </c>
      <c r="H1" s="2">
        <v>2022</v>
      </c>
    </row>
    <row r="2" spans="1:8" x14ac:dyDescent="0.2">
      <c r="B2" s="2"/>
      <c r="C2" s="4" t="s">
        <v>0</v>
      </c>
      <c r="D2" s="5" t="s">
        <v>0</v>
      </c>
      <c r="E2" s="6" t="s">
        <v>0</v>
      </c>
      <c r="F2" s="5" t="s">
        <v>0</v>
      </c>
      <c r="G2" s="5" t="s">
        <v>1</v>
      </c>
      <c r="H2" s="5" t="s">
        <v>1</v>
      </c>
    </row>
    <row r="3" spans="1:8" x14ac:dyDescent="0.2">
      <c r="A3" s="7" t="s">
        <v>2</v>
      </c>
      <c r="E3" s="8"/>
    </row>
    <row r="4" spans="1:8" x14ac:dyDescent="0.2">
      <c r="A4" s="37" t="s">
        <v>28</v>
      </c>
      <c r="E4" s="8"/>
    </row>
    <row r="5" spans="1:8" x14ac:dyDescent="0.2">
      <c r="A5" s="1" t="s">
        <v>417</v>
      </c>
      <c r="B5" s="1" t="str">
        <f>VLOOKUP(A5,'[1]SQL DATA'!$B:$J,3,FALSE)</f>
        <v>F&amp;C - Custom Work - Mowing</v>
      </c>
      <c r="C5" s="20">
        <f>VLOOKUP(A5,'[1]SQL DATA'!$B:$K,10,FALSE)</f>
        <v>15920</v>
      </c>
      <c r="D5" s="83">
        <f>VLOOKUP(A5,'[1]SQL DATA'!$B:$J,9,FALSE)</f>
        <v>9379.84</v>
      </c>
      <c r="E5" s="85">
        <f>VLOOKUP(A5,'[1]SQL DATA'!$B:$J,7,FALSE)</f>
        <v>4906.33</v>
      </c>
      <c r="F5" s="84">
        <f>VLOOKUP(A5,'[1]SQL DATA'!$B:$J,6,FALSE)</f>
        <v>0</v>
      </c>
      <c r="G5" s="83">
        <v>5620</v>
      </c>
      <c r="H5" s="83">
        <v>5620</v>
      </c>
    </row>
    <row r="6" spans="1:8" x14ac:dyDescent="0.2">
      <c r="A6" s="9" t="s">
        <v>42</v>
      </c>
      <c r="B6" s="72"/>
      <c r="C6" s="66">
        <f>+C5</f>
        <v>15920</v>
      </c>
      <c r="D6" s="87">
        <f>+D5</f>
        <v>9379.84</v>
      </c>
      <c r="E6" s="53">
        <f>+E5</f>
        <v>4906.33</v>
      </c>
      <c r="F6" s="52">
        <f>+F5</f>
        <v>0</v>
      </c>
      <c r="G6" s="87">
        <f t="shared" ref="G6:H6" si="0">+G5</f>
        <v>5620</v>
      </c>
      <c r="H6" s="87">
        <f t="shared" si="0"/>
        <v>5620</v>
      </c>
    </row>
    <row r="7" spans="1:8" x14ac:dyDescent="0.2">
      <c r="C7" s="73"/>
      <c r="D7" s="73"/>
      <c r="E7" s="50"/>
      <c r="F7" s="49"/>
      <c r="G7" s="73"/>
      <c r="H7" s="73"/>
    </row>
    <row r="8" spans="1:8" x14ac:dyDescent="0.2">
      <c r="A8" s="34" t="s">
        <v>7</v>
      </c>
      <c r="B8" s="72"/>
      <c r="C8" s="30">
        <f>C6</f>
        <v>15920</v>
      </c>
      <c r="D8" s="30">
        <f>D6</f>
        <v>9379.84</v>
      </c>
      <c r="E8" s="19">
        <f>E6</f>
        <v>4906.33</v>
      </c>
      <c r="F8" s="18">
        <f>F6</f>
        <v>0</v>
      </c>
      <c r="G8" s="30">
        <f t="shared" ref="G8:H8" si="1">G6</f>
        <v>5620</v>
      </c>
      <c r="H8" s="30">
        <f t="shared" si="1"/>
        <v>5620</v>
      </c>
    </row>
    <row r="9" spans="1:8" x14ac:dyDescent="0.2">
      <c r="A9" s="1" t="s">
        <v>8</v>
      </c>
      <c r="D9" s="73"/>
      <c r="E9" s="50"/>
      <c r="F9" s="49"/>
      <c r="G9" s="73"/>
      <c r="H9" s="73"/>
    </row>
    <row r="10" spans="1:8" x14ac:dyDescent="0.2">
      <c r="A10" s="7" t="s">
        <v>9</v>
      </c>
      <c r="D10" s="73"/>
      <c r="E10" s="50"/>
      <c r="F10" s="49"/>
      <c r="G10" s="73"/>
      <c r="H10" s="73"/>
    </row>
    <row r="11" spans="1:8" x14ac:dyDescent="0.2">
      <c r="A11" s="45" t="s">
        <v>51</v>
      </c>
      <c r="D11" s="73"/>
      <c r="E11" s="50"/>
      <c r="F11" s="49"/>
      <c r="G11" s="73"/>
      <c r="H11" s="73"/>
    </row>
    <row r="12" spans="1:8" x14ac:dyDescent="0.2">
      <c r="A12" s="1" t="s">
        <v>418</v>
      </c>
      <c r="B12" s="1" t="str">
        <f>VLOOKUP(A12,'[1]SQL DATA'!$B:$J,3,FALSE)</f>
        <v>TS - Const. - Salaries - Mowing/Snow</v>
      </c>
      <c r="C12" s="160">
        <f>VLOOKUP(A12,'[1]SQL DATA'!$B:$K,10,FALSE)</f>
        <v>0</v>
      </c>
      <c r="D12" s="187">
        <f>VLOOKUP(A12,'[1]SQL DATA'!$B:$J,9,FALSE)</f>
        <v>0</v>
      </c>
      <c r="E12" s="50">
        <f>VLOOKUP(A12,'[1]SQL DATA'!$B:$J,7,FALSE)</f>
        <v>16364.39</v>
      </c>
      <c r="F12" s="49">
        <f>VLOOKUP(A12,'[1]SQL DATA'!$B:$J,6,FALSE)</f>
        <v>3671.94</v>
      </c>
      <c r="G12" s="20">
        <v>38600</v>
      </c>
      <c r="H12" s="15">
        <f>21090+65210+5000</f>
        <v>91300</v>
      </c>
    </row>
    <row r="13" spans="1:8" x14ac:dyDescent="0.2">
      <c r="A13" s="1" t="s">
        <v>419</v>
      </c>
      <c r="B13" s="1" t="str">
        <f>VLOOKUP(A13,'[1]SQL DATA'!$B:$J,3,FALSE)</f>
        <v>TS - Const. - Benefits - Mowing/Snow</v>
      </c>
      <c r="C13" s="20">
        <f>VLOOKUP(A13,'[1]SQL DATA'!$B:$K,10,FALSE)</f>
        <v>3937.81</v>
      </c>
      <c r="D13" s="73">
        <f>VLOOKUP(A13,'[1]SQL DATA'!$B:$J,9,FALSE)</f>
        <v>6788.46</v>
      </c>
      <c r="E13" s="50">
        <f>VLOOKUP(A13,'[1]SQL DATA'!$B:$J,7,FALSE)</f>
        <v>3376.93</v>
      </c>
      <c r="F13" s="49">
        <f>VLOOKUP(A13,'[1]SQL DATA'!$B:$J,6,FALSE)</f>
        <v>946.5</v>
      </c>
      <c r="G13" s="20">
        <v>6700</v>
      </c>
      <c r="H13" s="15">
        <f>4640+14350</f>
        <v>18990</v>
      </c>
    </row>
    <row r="14" spans="1:8" x14ac:dyDescent="0.2">
      <c r="A14" s="9" t="s">
        <v>58</v>
      </c>
      <c r="B14" s="72"/>
      <c r="C14" s="30">
        <f>SUM(C12:C13)</f>
        <v>3937.81</v>
      </c>
      <c r="D14" s="30">
        <f>SUM(D12:D13)</f>
        <v>6788.46</v>
      </c>
      <c r="E14" s="19">
        <f>SUM(E12:E13)</f>
        <v>19741.32</v>
      </c>
      <c r="F14" s="18">
        <f>SUM(F12:F13)</f>
        <v>4618.4400000000005</v>
      </c>
      <c r="G14" s="30">
        <f t="shared" ref="G14:H14" si="2">SUM(G12:G13)</f>
        <v>45300</v>
      </c>
      <c r="H14" s="30">
        <f t="shared" si="2"/>
        <v>110290</v>
      </c>
    </row>
    <row r="15" spans="1:8" ht="14.25" customHeight="1" x14ac:dyDescent="0.2">
      <c r="A15" s="1" t="s">
        <v>8</v>
      </c>
      <c r="D15" s="73"/>
      <c r="E15" s="50"/>
      <c r="F15" s="49"/>
      <c r="G15" s="73"/>
      <c r="H15" s="73"/>
    </row>
    <row r="16" spans="1:8" ht="14.25" customHeight="1" x14ac:dyDescent="0.2">
      <c r="A16" s="58" t="s">
        <v>59</v>
      </c>
      <c r="B16" s="14"/>
      <c r="C16" s="14"/>
      <c r="D16" s="73"/>
      <c r="E16" s="50"/>
      <c r="F16" s="49"/>
      <c r="G16" s="73"/>
      <c r="H16" s="73"/>
    </row>
    <row r="17" spans="1:8" ht="14.25" customHeight="1" x14ac:dyDescent="0.2">
      <c r="A17" s="1" t="s">
        <v>420</v>
      </c>
      <c r="B17" s="1" t="str">
        <f>VLOOKUP(A17,'[1]SQL DATA'!$B:$J,3,FALSE)</f>
        <v>TS - Const. - Contract - Other</v>
      </c>
      <c r="C17" s="20">
        <f>VLOOKUP(A17,'[1]SQL DATA'!$B:$K,10,FALSE)</f>
        <v>0</v>
      </c>
      <c r="D17" s="49">
        <f>VLOOKUP(A17,'[1]SQL DATA'!$B:$J,9,FALSE)</f>
        <v>0</v>
      </c>
      <c r="E17" s="50">
        <f>VLOOKUP(A17,'[1]SQL DATA'!$B:$J,7,FALSE)</f>
        <v>0</v>
      </c>
      <c r="F17" s="49">
        <f>VLOOKUP(A17,'[1]SQL DATA'!$B:$J,6,FALSE)</f>
        <v>0</v>
      </c>
      <c r="G17" s="20">
        <v>0</v>
      </c>
      <c r="H17" s="20">
        <v>0</v>
      </c>
    </row>
    <row r="18" spans="1:8" ht="14.25" customHeight="1" x14ac:dyDescent="0.2">
      <c r="A18" s="9" t="s">
        <v>66</v>
      </c>
      <c r="B18" s="72"/>
      <c r="C18" s="66">
        <f>+C17</f>
        <v>0</v>
      </c>
      <c r="D18" s="66">
        <f>+D17</f>
        <v>0</v>
      </c>
      <c r="E18" s="68">
        <f>+E17</f>
        <v>0</v>
      </c>
      <c r="F18" s="67">
        <f>+F17</f>
        <v>0</v>
      </c>
      <c r="G18" s="66">
        <f t="shared" ref="G18:H18" si="3">+G17</f>
        <v>0</v>
      </c>
      <c r="H18" s="66">
        <f t="shared" si="3"/>
        <v>0</v>
      </c>
    </row>
    <row r="19" spans="1:8" ht="14.25" customHeight="1" x14ac:dyDescent="0.2">
      <c r="A19" s="1" t="s">
        <v>8</v>
      </c>
      <c r="D19" s="73"/>
      <c r="E19" s="50"/>
      <c r="F19" s="49"/>
      <c r="G19" s="73"/>
      <c r="H19" s="73"/>
    </row>
    <row r="20" spans="1:8" ht="14.25" customHeight="1" x14ac:dyDescent="0.2">
      <c r="A20" s="58" t="s">
        <v>111</v>
      </c>
      <c r="D20" s="73"/>
      <c r="E20" s="50"/>
      <c r="F20" s="49"/>
      <c r="G20" s="73"/>
      <c r="H20" s="73"/>
    </row>
    <row r="21" spans="1:8" x14ac:dyDescent="0.2">
      <c r="A21" s="1" t="s">
        <v>421</v>
      </c>
      <c r="B21" s="1" t="str">
        <f>VLOOKUP(A21,'[1]SQL DATA'!$B:$J,3,FALSE)</f>
        <v>TS - Const. - Supplies - Mowing</v>
      </c>
      <c r="C21" s="20">
        <f>VLOOKUP(A21,'[1]SQL DATA'!$B:$K,10,FALSE)</f>
        <v>830.7</v>
      </c>
      <c r="D21" s="73">
        <f>VLOOKUP(A21,'[1]SQL DATA'!$B:$J,9,FALSE)</f>
        <v>2000</v>
      </c>
      <c r="E21" s="50">
        <f>VLOOKUP(A21,'[1]SQL DATA'!$B:$J,7,FALSE)</f>
        <v>1152.3</v>
      </c>
      <c r="F21" s="49">
        <f>VLOOKUP(A21,'[1]SQL DATA'!$B:$J,6,FALSE)</f>
        <v>131.96</v>
      </c>
      <c r="G21" s="20">
        <v>2000</v>
      </c>
      <c r="H21" s="20">
        <v>2000</v>
      </c>
    </row>
    <row r="22" spans="1:8" x14ac:dyDescent="0.2">
      <c r="A22" s="1" t="s">
        <v>422</v>
      </c>
      <c r="B22" s="1" t="str">
        <f>VLOOKUP(A22,'[1]SQL DATA'!$B:$J,3,FALSE)</f>
        <v>TS - Const. - Other Supplies - Mowing</v>
      </c>
      <c r="C22" s="20">
        <f>VLOOKUP(A22,'[1]SQL DATA'!$B:$K,10,FALSE)</f>
        <v>9.85</v>
      </c>
      <c r="D22" s="73">
        <f>VLOOKUP(A22,'[1]SQL DATA'!$B:$J,9,FALSE)</f>
        <v>0</v>
      </c>
      <c r="E22" s="50">
        <f>VLOOKUP(A22,'[1]SQL DATA'!$B:$J,7,FALSE)</f>
        <v>0</v>
      </c>
      <c r="F22" s="49">
        <f>VLOOKUP(A22,'[1]SQL DATA'!$B:$J,6,FALSE)</f>
        <v>0</v>
      </c>
      <c r="G22" s="20">
        <v>100</v>
      </c>
      <c r="H22" s="20">
        <v>100</v>
      </c>
    </row>
    <row r="23" spans="1:8" x14ac:dyDescent="0.2">
      <c r="A23" s="9" t="s">
        <v>85</v>
      </c>
      <c r="B23" s="72"/>
      <c r="C23" s="66">
        <f>SUM(C21:C22)</f>
        <v>840.55000000000007</v>
      </c>
      <c r="D23" s="66">
        <f>SUM(D21:D22)</f>
        <v>2000</v>
      </c>
      <c r="E23" s="68">
        <f>SUM(E21:E22)</f>
        <v>1152.3</v>
      </c>
      <c r="F23" s="67">
        <f>SUM(F21:F22)</f>
        <v>131.96</v>
      </c>
      <c r="G23" s="66">
        <f t="shared" ref="G23:H23" si="4">SUM(G21:G22)</f>
        <v>2100</v>
      </c>
      <c r="H23" s="66">
        <f t="shared" si="4"/>
        <v>2100</v>
      </c>
    </row>
    <row r="24" spans="1:8" x14ac:dyDescent="0.2">
      <c r="A24" s="9"/>
      <c r="C24" s="20"/>
      <c r="D24" s="20"/>
      <c r="E24" s="16"/>
      <c r="F24" s="15"/>
      <c r="G24" s="73"/>
      <c r="H24" s="73"/>
    </row>
    <row r="25" spans="1:8" x14ac:dyDescent="0.2">
      <c r="A25" s="34" t="s">
        <v>21</v>
      </c>
      <c r="B25" s="72"/>
      <c r="C25" s="30">
        <f>C14+C18+C23</f>
        <v>4778.3599999999997</v>
      </c>
      <c r="D25" s="30">
        <f>D14+D18+D23</f>
        <v>8788.4599999999991</v>
      </c>
      <c r="E25" s="19">
        <f>E14+E18+E23</f>
        <v>20893.62</v>
      </c>
      <c r="F25" s="18">
        <f>F14+F18+F23</f>
        <v>4750.4000000000005</v>
      </c>
      <c r="G25" s="30">
        <f t="shared" ref="G25:H25" si="5">G14+G18+G23</f>
        <v>47400</v>
      </c>
      <c r="H25" s="30">
        <f t="shared" si="5"/>
        <v>112390</v>
      </c>
    </row>
    <row r="26" spans="1:8" x14ac:dyDescent="0.2">
      <c r="A26" s="51" t="s">
        <v>8</v>
      </c>
      <c r="B26" s="17"/>
      <c r="C26" s="20"/>
      <c r="D26" s="20"/>
      <c r="E26" s="16"/>
      <c r="F26" s="15"/>
      <c r="G26" s="87"/>
      <c r="H26" s="87"/>
    </row>
    <row r="27" spans="1:8" ht="13.5" thickBot="1" x14ac:dyDescent="0.25">
      <c r="A27" s="74" t="s">
        <v>22</v>
      </c>
      <c r="B27" s="74"/>
      <c r="C27" s="69">
        <f>(C8)-C25</f>
        <v>11141.64</v>
      </c>
      <c r="D27" s="69">
        <f>(D8)-D25</f>
        <v>591.38000000000102</v>
      </c>
      <c r="E27" s="70">
        <f t="shared" ref="E27:H27" si="6">(E8)-E25</f>
        <v>-15987.289999999999</v>
      </c>
      <c r="F27" s="69">
        <f t="shared" si="6"/>
        <v>-4750.4000000000005</v>
      </c>
      <c r="G27" s="69">
        <f t="shared" si="6"/>
        <v>-41780</v>
      </c>
      <c r="H27" s="69">
        <f t="shared" si="6"/>
        <v>-106770</v>
      </c>
    </row>
    <row r="28" spans="1:8" ht="13.5" thickTop="1" x14ac:dyDescent="0.2">
      <c r="A28" s="1" t="s">
        <v>8</v>
      </c>
    </row>
  </sheetData>
  <mergeCells count="1">
    <mergeCell ref="A27:B27"/>
  </mergeCells>
  <pageMargins left="0.74803149606299213" right="0.74803149606299213" top="0.56712962962962965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Mowing
</oddHeader>
    <oddFooter>&amp;L&amp;P of &amp;N &amp;C&amp;R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7DDF4-F3DF-40A4-A8F4-6579016189B5}">
  <dimension ref="A1:J43"/>
  <sheetViews>
    <sheetView topLeftCell="A16" zoomScale="150" zoomScaleNormal="150" workbookViewId="0">
      <selection activeCell="G9" sqref="G9"/>
    </sheetView>
  </sheetViews>
  <sheetFormatPr defaultColWidth="8.85546875" defaultRowHeight="12.75" x14ac:dyDescent="0.2"/>
  <cols>
    <col min="1" max="1" width="11.7109375" style="1" customWidth="1"/>
    <col min="2" max="2" width="20.7109375" style="1" customWidth="1"/>
    <col min="3" max="4" width="9.140625" style="1" bestFit="1" customWidth="1"/>
    <col min="5" max="5" width="8.5703125" style="1" bestFit="1" customWidth="1"/>
    <col min="6" max="6" width="9.140625" style="1" bestFit="1" customWidth="1"/>
    <col min="7" max="7" width="10.85546875" style="1" customWidth="1"/>
    <col min="8" max="8" width="9.140625" style="1" bestFit="1" customWidth="1"/>
    <col min="9" max="10" width="11.7109375" style="1" bestFit="1" customWidth="1"/>
    <col min="11" max="16384" width="8.85546875" style="1"/>
  </cols>
  <sheetData>
    <row r="1" spans="1:8" x14ac:dyDescent="0.2">
      <c r="A1" s="17"/>
      <c r="B1" s="71"/>
      <c r="C1" s="2">
        <v>2019</v>
      </c>
      <c r="D1" s="2">
        <v>2020</v>
      </c>
      <c r="E1" s="3">
        <v>2021</v>
      </c>
      <c r="F1" s="2">
        <v>2022</v>
      </c>
      <c r="G1" s="2">
        <v>2021</v>
      </c>
      <c r="H1" s="2">
        <v>2022</v>
      </c>
    </row>
    <row r="2" spans="1:8" ht="15" customHeight="1" x14ac:dyDescent="0.2">
      <c r="B2" s="2"/>
      <c r="C2" s="4" t="s">
        <v>0</v>
      </c>
      <c r="D2" s="5" t="s">
        <v>0</v>
      </c>
      <c r="E2" s="6" t="s">
        <v>0</v>
      </c>
      <c r="F2" s="5" t="s">
        <v>0</v>
      </c>
      <c r="G2" s="5" t="s">
        <v>1</v>
      </c>
      <c r="H2" s="5" t="s">
        <v>1</v>
      </c>
    </row>
    <row r="3" spans="1:8" ht="15" customHeight="1" x14ac:dyDescent="0.2">
      <c r="A3" s="7" t="s">
        <v>239</v>
      </c>
      <c r="B3" s="2"/>
      <c r="C3" s="2"/>
      <c r="D3" s="2"/>
      <c r="E3" s="3"/>
      <c r="F3" s="2"/>
      <c r="G3" s="2"/>
      <c r="H3" s="2"/>
    </row>
    <row r="4" spans="1:8" x14ac:dyDescent="0.2">
      <c r="A4" s="45" t="s">
        <v>423</v>
      </c>
      <c r="B4" s="37"/>
      <c r="C4" s="37"/>
      <c r="D4" s="37"/>
      <c r="E4" s="164"/>
      <c r="F4" s="37"/>
      <c r="G4" s="37"/>
      <c r="H4" s="37"/>
    </row>
    <row r="5" spans="1:8" x14ac:dyDescent="0.2">
      <c r="A5" s="191" t="s">
        <v>424</v>
      </c>
      <c r="B5" s="1" t="str">
        <f>VLOOKUP(A5,'[1]SQL DATA'!$B:$J,3,FALSE)</f>
        <v>Transfer from Reserves - Transportation</v>
      </c>
      <c r="C5" s="20">
        <f>VLOOKUP(A5,'[1]SQL DATA'!$B:$K,10,FALSE)</f>
        <v>20000</v>
      </c>
      <c r="D5" s="73">
        <f>VLOOKUP(A5,'[1]SQL DATA'!$B:$J,9,FALSE)</f>
        <v>50000</v>
      </c>
      <c r="E5" s="50">
        <f>VLOOKUP(A5,'[1]SQL DATA'!$B:$J,7,FALSE)</f>
        <v>136900</v>
      </c>
      <c r="F5" s="49">
        <f>VLOOKUP(A5,'[1]SQL DATA'!$B:$J,6,FALSE)</f>
        <v>0</v>
      </c>
      <c r="G5" s="20">
        <v>136900</v>
      </c>
      <c r="H5" s="20">
        <v>15000</v>
      </c>
    </row>
    <row r="6" spans="1:8" x14ac:dyDescent="0.2">
      <c r="A6" s="9" t="s">
        <v>27</v>
      </c>
      <c r="B6" s="81"/>
      <c r="C6" s="59">
        <f>C5</f>
        <v>20000</v>
      </c>
      <c r="D6" s="59">
        <f>D5</f>
        <v>50000</v>
      </c>
      <c r="E6" s="48">
        <f>E5</f>
        <v>136900</v>
      </c>
      <c r="F6" s="47">
        <f>F5</f>
        <v>0</v>
      </c>
      <c r="G6" s="59">
        <f t="shared" ref="G6:H6" si="0">G5</f>
        <v>136900</v>
      </c>
      <c r="H6" s="59">
        <f t="shared" si="0"/>
        <v>15000</v>
      </c>
    </row>
    <row r="7" spans="1:8" x14ac:dyDescent="0.2">
      <c r="A7" s="9"/>
      <c r="B7" s="81"/>
      <c r="C7" s="73"/>
      <c r="D7" s="73"/>
      <c r="E7" s="50"/>
      <c r="F7" s="49"/>
      <c r="G7" s="73"/>
      <c r="H7" s="73"/>
    </row>
    <row r="8" spans="1:8" x14ac:dyDescent="0.2">
      <c r="A8" s="37" t="s">
        <v>4</v>
      </c>
      <c r="B8" s="81"/>
      <c r="C8" s="73"/>
      <c r="D8" s="73"/>
      <c r="E8" s="50"/>
      <c r="F8" s="49"/>
      <c r="G8" s="73"/>
      <c r="H8" s="73"/>
    </row>
    <row r="9" spans="1:8" x14ac:dyDescent="0.2">
      <c r="A9" s="37" t="s">
        <v>425</v>
      </c>
      <c r="B9" s="1" t="str">
        <f>VLOOKUP(A9,'[1]SQL DATA'!$B:$J,3,FALSE)</f>
        <v>TS - Gain/Loss on Sale of TCA</v>
      </c>
      <c r="C9" s="20">
        <f>VLOOKUP(A9,'[1]SQL DATA'!$B:$K,10,FALSE)</f>
        <v>0</v>
      </c>
      <c r="D9" s="73">
        <f>VLOOKUP(A9,'[1]SQL DATA'!$B:$J,9,FALSE)</f>
        <v>0</v>
      </c>
      <c r="E9" s="50">
        <f>VLOOKUP(A9,'[1]SQL DATA'!$B:$J,7,FALSE)</f>
        <v>-21715.8</v>
      </c>
      <c r="F9" s="49">
        <f>VLOOKUP(A9,'[1]SQL DATA'!$B:$J,6,FALSE)</f>
        <v>0</v>
      </c>
      <c r="G9" s="73">
        <v>0</v>
      </c>
      <c r="H9" s="73">
        <v>0</v>
      </c>
    </row>
    <row r="10" spans="1:8" x14ac:dyDescent="0.2">
      <c r="A10" s="9" t="s">
        <v>426</v>
      </c>
      <c r="B10" s="81"/>
      <c r="C10" s="59">
        <f>SUM(C9)</f>
        <v>0</v>
      </c>
      <c r="D10" s="59">
        <f>SUM(D9)</f>
        <v>0</v>
      </c>
      <c r="E10" s="48">
        <f>SUM(E9)</f>
        <v>-21715.8</v>
      </c>
      <c r="F10" s="47">
        <f t="shared" ref="F10:H10" si="1">SUM(F9)</f>
        <v>0</v>
      </c>
      <c r="G10" s="59">
        <f t="shared" si="1"/>
        <v>0</v>
      </c>
      <c r="H10" s="59">
        <f t="shared" si="1"/>
        <v>0</v>
      </c>
    </row>
    <row r="11" spans="1:8" x14ac:dyDescent="0.2">
      <c r="C11" s="73"/>
      <c r="D11" s="73"/>
      <c r="E11" s="50"/>
      <c r="F11" s="49"/>
      <c r="G11" s="73"/>
      <c r="H11" s="73"/>
    </row>
    <row r="12" spans="1:8" x14ac:dyDescent="0.2">
      <c r="A12" s="34" t="s">
        <v>7</v>
      </c>
      <c r="B12" s="72"/>
      <c r="C12" s="18">
        <f>C6+10</f>
        <v>20010</v>
      </c>
      <c r="D12" s="18">
        <f t="shared" ref="D12:H12" si="2">D6+10</f>
        <v>50010</v>
      </c>
      <c r="E12" s="19">
        <f t="shared" si="2"/>
        <v>136910</v>
      </c>
      <c r="F12" s="18">
        <f t="shared" si="2"/>
        <v>10</v>
      </c>
      <c r="G12" s="18">
        <f t="shared" si="2"/>
        <v>136910</v>
      </c>
      <c r="H12" s="18">
        <f t="shared" si="2"/>
        <v>15010</v>
      </c>
    </row>
    <row r="13" spans="1:8" x14ac:dyDescent="0.2">
      <c r="A13" s="51"/>
      <c r="B13" s="72"/>
      <c r="C13" s="72"/>
      <c r="D13" s="87"/>
      <c r="E13" s="53"/>
      <c r="F13" s="52"/>
      <c r="G13" s="87"/>
      <c r="H13" s="87"/>
    </row>
    <row r="14" spans="1:8" x14ac:dyDescent="0.2">
      <c r="A14" s="7" t="s">
        <v>9</v>
      </c>
      <c r="D14" s="73"/>
      <c r="E14" s="50"/>
      <c r="F14" s="49"/>
      <c r="G14" s="73"/>
      <c r="H14" s="73"/>
    </row>
    <row r="15" spans="1:8" x14ac:dyDescent="0.2">
      <c r="A15" s="45" t="s">
        <v>51</v>
      </c>
      <c r="B15" s="37"/>
      <c r="C15" s="37"/>
      <c r="D15" s="79"/>
      <c r="E15" s="89"/>
      <c r="F15" s="88"/>
      <c r="G15" s="79"/>
      <c r="H15" s="79"/>
    </row>
    <row r="16" spans="1:8" x14ac:dyDescent="0.2">
      <c r="A16" s="192" t="s">
        <v>427</v>
      </c>
      <c r="B16" s="1" t="str">
        <f>VLOOKUP(A16,'[1]SQL DATA'!$B:$J,3,FALSE)</f>
        <v>TS - Maint. - Salaries - Transportation</v>
      </c>
      <c r="C16" s="20">
        <f>VLOOKUP(A16,'[1]SQL DATA'!$B:$K,10,FALSE)</f>
        <v>29940.21</v>
      </c>
      <c r="D16" s="73">
        <f>VLOOKUP(A16,'[1]SQL DATA'!$B:$J,9,FALSE)</f>
        <v>19543.689999999999</v>
      </c>
      <c r="E16" s="50">
        <f>VLOOKUP(A16,'[1]SQL DATA'!$B:$J,7,FALSE)</f>
        <v>20034.34</v>
      </c>
      <c r="F16" s="49">
        <f>VLOOKUP(A16,'[1]SQL DATA'!$B:$J,6,FALSE)</f>
        <v>34948.639999999999</v>
      </c>
      <c r="G16" s="20">
        <v>20000</v>
      </c>
      <c r="H16" s="20">
        <v>59770</v>
      </c>
    </row>
    <row r="17" spans="1:8" x14ac:dyDescent="0.2">
      <c r="A17" s="192" t="s">
        <v>428</v>
      </c>
      <c r="B17" s="1" t="str">
        <f>VLOOKUP(A17,'[1]SQL DATA'!$B:$J,3,FALSE)</f>
        <v>TS - Maint. - Benefits - Transportation</v>
      </c>
      <c r="C17" s="20">
        <f>VLOOKUP(A17,'[1]SQL DATA'!$B:$K,10,FALSE)</f>
        <v>5914.18</v>
      </c>
      <c r="D17" s="73">
        <f>VLOOKUP(A17,'[1]SQL DATA'!$B:$J,9,FALSE)</f>
        <v>3994.98</v>
      </c>
      <c r="E17" s="50">
        <f>VLOOKUP(A17,'[1]SQL DATA'!$B:$J,7,FALSE)</f>
        <v>4098.04</v>
      </c>
      <c r="F17" s="49">
        <f>VLOOKUP(A17,'[1]SQL DATA'!$B:$J,6,FALSE)</f>
        <v>4132.7</v>
      </c>
      <c r="G17" s="20">
        <v>4100</v>
      </c>
      <c r="H17" s="20">
        <v>13150</v>
      </c>
    </row>
    <row r="18" spans="1:8" x14ac:dyDescent="0.2">
      <c r="A18" s="9" t="s">
        <v>58</v>
      </c>
      <c r="B18" s="72"/>
      <c r="C18" s="30">
        <f>SUM(C16:C17)</f>
        <v>35854.39</v>
      </c>
      <c r="D18" s="30">
        <f>SUM(D16:D17)</f>
        <v>23538.67</v>
      </c>
      <c r="E18" s="19">
        <f>SUM(E16:E17)</f>
        <v>24132.38</v>
      </c>
      <c r="F18" s="18">
        <f>SUM(F16:F17)</f>
        <v>39081.339999999997</v>
      </c>
      <c r="G18" s="30">
        <f t="shared" ref="G18:H18" si="3">SUM(G16:G17)</f>
        <v>24100</v>
      </c>
      <c r="H18" s="30">
        <f t="shared" si="3"/>
        <v>72920</v>
      </c>
    </row>
    <row r="19" spans="1:8" x14ac:dyDescent="0.2">
      <c r="A19" s="1" t="s">
        <v>8</v>
      </c>
      <c r="D19" s="73"/>
      <c r="E19" s="50"/>
      <c r="F19" s="49"/>
      <c r="G19" s="73"/>
      <c r="H19" s="73"/>
    </row>
    <row r="20" spans="1:8" x14ac:dyDescent="0.2">
      <c r="A20" s="58" t="s">
        <v>59</v>
      </c>
      <c r="B20" s="193"/>
      <c r="C20" s="193"/>
      <c r="D20" s="79"/>
      <c r="E20" s="89"/>
      <c r="F20" s="88"/>
      <c r="G20" s="79"/>
      <c r="H20" s="79"/>
    </row>
    <row r="21" spans="1:8" x14ac:dyDescent="0.2">
      <c r="A21" s="192" t="s">
        <v>429</v>
      </c>
      <c r="B21" s="1" t="str">
        <f>VLOOKUP(A21,'[1]SQL DATA'!$B:$J,3,FALSE)</f>
        <v>TS - Maint. - Contracted Repairs</v>
      </c>
      <c r="C21" s="20">
        <f>VLOOKUP(A21,'[1]SQL DATA'!$B:$K,10,FALSE)</f>
        <v>18902.55</v>
      </c>
      <c r="D21" s="73">
        <f>VLOOKUP(A21,'[1]SQL DATA'!$B:$J,9,FALSE)</f>
        <v>5336.27</v>
      </c>
      <c r="E21" s="50">
        <f>VLOOKUP(A21,'[1]SQL DATA'!$B:$J,7,FALSE)</f>
        <v>21526.47</v>
      </c>
      <c r="F21" s="49">
        <f>VLOOKUP(A21,'[1]SQL DATA'!$B:$J,6,FALSE)</f>
        <v>60.13</v>
      </c>
      <c r="G21" s="20">
        <v>5000</v>
      </c>
      <c r="H21" s="20">
        <v>0</v>
      </c>
    </row>
    <row r="22" spans="1:8" x14ac:dyDescent="0.2">
      <c r="A22" s="9" t="s">
        <v>66</v>
      </c>
      <c r="B22" s="72"/>
      <c r="C22" s="30">
        <f>SUM(C21)</f>
        <v>18902.55</v>
      </c>
      <c r="D22" s="30">
        <f>SUM(D21)</f>
        <v>5336.27</v>
      </c>
      <c r="E22" s="19">
        <f>SUM(E21)</f>
        <v>21526.47</v>
      </c>
      <c r="F22" s="18">
        <f>SUM(F21)</f>
        <v>60.13</v>
      </c>
      <c r="G22" s="30">
        <f t="shared" ref="G22:H22" si="4">SUM(G21)</f>
        <v>5000</v>
      </c>
      <c r="H22" s="30">
        <f t="shared" si="4"/>
        <v>0</v>
      </c>
    </row>
    <row r="23" spans="1:8" x14ac:dyDescent="0.2">
      <c r="A23" s="1" t="s">
        <v>8</v>
      </c>
      <c r="D23" s="73"/>
      <c r="E23" s="50"/>
      <c r="F23" s="49"/>
      <c r="G23" s="73"/>
      <c r="H23" s="73"/>
    </row>
    <row r="24" spans="1:8" x14ac:dyDescent="0.2">
      <c r="A24" s="58" t="s">
        <v>111</v>
      </c>
      <c r="B24" s="37"/>
      <c r="C24" s="37"/>
      <c r="D24" s="79"/>
      <c r="E24" s="89"/>
      <c r="F24" s="88"/>
      <c r="G24" s="79"/>
      <c r="H24" s="79"/>
    </row>
    <row r="25" spans="1:8" x14ac:dyDescent="0.2">
      <c r="A25" s="192" t="s">
        <v>430</v>
      </c>
      <c r="B25" s="1" t="str">
        <f>VLOOKUP(A25,'[1]SQL DATA'!$B:$J,3,FALSE)</f>
        <v>TS - Maint. - Insurance/Vehicle Reg.</v>
      </c>
      <c r="C25" s="20">
        <f>VLOOKUP(A25,'[1]SQL DATA'!$B:$K,10,FALSE)</f>
        <v>19477.66</v>
      </c>
      <c r="D25" s="73">
        <f>VLOOKUP(A25,'[1]SQL DATA'!$B:$J,9,FALSE)</f>
        <v>20721.740000000002</v>
      </c>
      <c r="E25" s="50">
        <f>VLOOKUP(A25,'[1]SQL DATA'!$B:$J,7,FALSE)</f>
        <v>17107.689999999999</v>
      </c>
      <c r="F25" s="49">
        <f>VLOOKUP(A25,'[1]SQL DATA'!$B:$J,6,FALSE)</f>
        <v>20825.45</v>
      </c>
      <c r="G25" s="20">
        <v>20260</v>
      </c>
      <c r="H25" s="20">
        <v>18000</v>
      </c>
    </row>
    <row r="26" spans="1:8" x14ac:dyDescent="0.2">
      <c r="A26" s="192" t="s">
        <v>431</v>
      </c>
      <c r="B26" s="1" t="str">
        <f>VLOOKUP(A26,'[1]SQL DATA'!$B:$J,3,FALSE)</f>
        <v>TS - Maint. - Repairs - Veh/Equip</v>
      </c>
      <c r="C26" s="20">
        <f>VLOOKUP(A26,'[1]SQL DATA'!$B:$K,10,FALSE)</f>
        <v>17891.86</v>
      </c>
      <c r="D26" s="73">
        <f>VLOOKUP(A26,'[1]SQL DATA'!$B:$J,9,FALSE)</f>
        <v>32650.49</v>
      </c>
      <c r="E26" s="50">
        <f>VLOOKUP(A26,'[1]SQL DATA'!$B:$J,7,FALSE)</f>
        <v>13794.16</v>
      </c>
      <c r="F26" s="49">
        <f>VLOOKUP(A26,'[1]SQL DATA'!$B:$J,6,FALSE)</f>
        <v>15473.96</v>
      </c>
      <c r="G26" s="20">
        <v>42000</v>
      </c>
      <c r="H26" s="20">
        <v>47000</v>
      </c>
    </row>
    <row r="27" spans="1:8" ht="16.5" customHeight="1" x14ac:dyDescent="0.2">
      <c r="A27" s="192" t="s">
        <v>432</v>
      </c>
      <c r="B27" s="1" t="str">
        <f>VLOOKUP(A27,'[1]SQL DATA'!$B:$J,3,FALSE)</f>
        <v>TS - Maint. - Materials &amp; Supplies</v>
      </c>
      <c r="C27" s="20">
        <f>VLOOKUP(A27,'[1]SQL DATA'!$B:$K,10,FALSE)</f>
        <v>9547.35</v>
      </c>
      <c r="D27" s="73">
        <f>VLOOKUP(A27,'[1]SQL DATA'!$B:$J,9,FALSE)</f>
        <v>6840.34</v>
      </c>
      <c r="E27" s="50">
        <f>VLOOKUP(A27,'[1]SQL DATA'!$B:$J,7,FALSE)</f>
        <v>4784.8100000000004</v>
      </c>
      <c r="F27" s="49">
        <f>VLOOKUP(A27,'[1]SQL DATA'!$B:$J,6,FALSE)</f>
        <v>4189.32</v>
      </c>
      <c r="G27" s="20">
        <v>5440</v>
      </c>
      <c r="H27" s="20">
        <v>8500</v>
      </c>
    </row>
    <row r="28" spans="1:8" ht="16.5" customHeight="1" x14ac:dyDescent="0.2">
      <c r="A28" s="192" t="s">
        <v>433</v>
      </c>
      <c r="B28" s="1" t="str">
        <f>VLOOKUP(A28,'[1]SQL DATA'!$B:$J,3,FALSE)</f>
        <v>TS - Maint. - Oil &amp; Gas</v>
      </c>
      <c r="C28" s="20">
        <f>VLOOKUP(A28,'[1]SQL DATA'!$B:$K,10,FALSE)</f>
        <v>29933.88</v>
      </c>
      <c r="D28" s="73">
        <f>VLOOKUP(A28,'[1]SQL DATA'!$B:$J,9,FALSE)</f>
        <v>28658.06</v>
      </c>
      <c r="E28" s="50">
        <f>VLOOKUP(A28,'[1]SQL DATA'!$B:$J,7,FALSE)</f>
        <v>36056.79</v>
      </c>
      <c r="F28" s="49">
        <f>VLOOKUP(A28,'[1]SQL DATA'!$B:$J,6,FALSE)</f>
        <v>23978.98</v>
      </c>
      <c r="G28" s="20">
        <v>25000</v>
      </c>
      <c r="H28" s="20">
        <f>40000+4280+540</f>
        <v>44820</v>
      </c>
    </row>
    <row r="29" spans="1:8" x14ac:dyDescent="0.2">
      <c r="A29" s="192" t="s">
        <v>434</v>
      </c>
      <c r="B29" s="1" t="str">
        <f>VLOOKUP(A29,'[1]SQL DATA'!$B:$J,3,FALSE)</f>
        <v>TS - Property &amp; Liability Ins. - Equip</v>
      </c>
      <c r="C29" s="20">
        <f>VLOOKUP(A29,'[1]SQL DATA'!$B:$K,10,FALSE)</f>
        <v>4287.8599999999997</v>
      </c>
      <c r="D29" s="73">
        <f>VLOOKUP(A29,'[1]SQL DATA'!$B:$J,9,FALSE)</f>
        <v>3878.6</v>
      </c>
      <c r="E29" s="50">
        <f>VLOOKUP(A29,'[1]SQL DATA'!$B:$J,7,FALSE)</f>
        <v>4828.91</v>
      </c>
      <c r="F29" s="49">
        <f>VLOOKUP(A29,'[1]SQL DATA'!$B:$J,6,FALSE)</f>
        <v>5276.38</v>
      </c>
      <c r="G29" s="20">
        <v>4750</v>
      </c>
      <c r="H29" s="20">
        <v>6110</v>
      </c>
    </row>
    <row r="30" spans="1:8" x14ac:dyDescent="0.2">
      <c r="A30" s="9" t="s">
        <v>85</v>
      </c>
      <c r="B30" s="72"/>
      <c r="C30" s="30">
        <f>SUM(C25:C29)</f>
        <v>81138.61</v>
      </c>
      <c r="D30" s="30">
        <f>SUM(D25:D29)</f>
        <v>92749.23000000001</v>
      </c>
      <c r="E30" s="19">
        <f>SUM(E25:E29)</f>
        <v>76572.36</v>
      </c>
      <c r="F30" s="18">
        <f>SUM(F25:F29)</f>
        <v>69744.090000000011</v>
      </c>
      <c r="G30" s="30">
        <f t="shared" ref="G30:H30" si="5">SUM(G25:G29)</f>
        <v>97450</v>
      </c>
      <c r="H30" s="30">
        <f t="shared" si="5"/>
        <v>124430</v>
      </c>
    </row>
    <row r="31" spans="1:8" x14ac:dyDescent="0.2">
      <c r="A31" s="1" t="s">
        <v>8</v>
      </c>
      <c r="D31" s="73"/>
      <c r="E31" s="50"/>
      <c r="F31" s="49"/>
      <c r="G31" s="73"/>
      <c r="H31" s="73"/>
    </row>
    <row r="32" spans="1:8" x14ac:dyDescent="0.2">
      <c r="A32" s="58" t="s">
        <v>435</v>
      </c>
      <c r="B32" s="37"/>
      <c r="C32" s="37"/>
      <c r="D32" s="79"/>
      <c r="E32" s="89"/>
      <c r="F32" s="88"/>
      <c r="G32" s="79"/>
      <c r="H32" s="79"/>
    </row>
    <row r="33" spans="1:10" x14ac:dyDescent="0.2">
      <c r="A33" s="192" t="s">
        <v>436</v>
      </c>
      <c r="B33" s="1" t="str">
        <f>VLOOKUP(A33,'[1]SQL DATA'!$B:$J,3,FALSE)</f>
        <v>TS - Const. - Interest</v>
      </c>
      <c r="C33" s="20">
        <f>VLOOKUP(A33,'[1]SQL DATA'!$B:$K,10,FALSE)</f>
        <v>4926.34</v>
      </c>
      <c r="D33" s="73">
        <f>VLOOKUP(A33,'[1]SQL DATA'!$B:$J,9,FALSE)</f>
        <v>0</v>
      </c>
      <c r="E33" s="50">
        <f>VLOOKUP(A33,'[1]SQL DATA'!$B:$J,7,FALSE)</f>
        <v>0</v>
      </c>
      <c r="F33" s="49">
        <f>VLOOKUP(A33,'[1]SQL DATA'!$B:$J,6,FALSE)</f>
        <v>0</v>
      </c>
      <c r="G33" s="20">
        <v>0</v>
      </c>
      <c r="H33" s="20">
        <v>0</v>
      </c>
    </row>
    <row r="34" spans="1:10" x14ac:dyDescent="0.2">
      <c r="A34" s="9" t="s">
        <v>437</v>
      </c>
      <c r="B34" s="81"/>
      <c r="C34" s="59">
        <f>SUM(C33)</f>
        <v>4926.34</v>
      </c>
      <c r="D34" s="59">
        <f>SUM(D33)</f>
        <v>0</v>
      </c>
      <c r="E34" s="48">
        <f>SUM(E33)</f>
        <v>0</v>
      </c>
      <c r="F34" s="47">
        <f>SUM(F33)</f>
        <v>0</v>
      </c>
      <c r="G34" s="59">
        <f t="shared" ref="G34:H34" si="6">SUM(G33)</f>
        <v>0</v>
      </c>
      <c r="H34" s="59">
        <f t="shared" si="6"/>
        <v>0</v>
      </c>
    </row>
    <row r="35" spans="1:10" x14ac:dyDescent="0.2">
      <c r="D35" s="73"/>
      <c r="E35" s="50"/>
      <c r="F35" s="49"/>
      <c r="G35" s="73"/>
      <c r="H35" s="73"/>
    </row>
    <row r="36" spans="1:10" x14ac:dyDescent="0.2">
      <c r="A36" s="45" t="s">
        <v>438</v>
      </c>
      <c r="D36" s="73"/>
      <c r="E36" s="50"/>
      <c r="F36" s="49"/>
      <c r="G36" s="73"/>
      <c r="H36" s="73"/>
    </row>
    <row r="37" spans="1:10" x14ac:dyDescent="0.2">
      <c r="A37" s="192" t="s">
        <v>439</v>
      </c>
      <c r="B37" s="1" t="str">
        <f>VLOOKUP(A37,'[1]SQL DATA'!$B:$J,3,FALSE)</f>
        <v>TS - Const. - Pur of Cap Assets - Equip</v>
      </c>
      <c r="C37" s="20">
        <f>VLOOKUP(A37,'[1]SQL DATA'!$B:$K,10,FALSE)</f>
        <v>0</v>
      </c>
      <c r="D37" s="73">
        <f>VLOOKUP(A37,'[1]SQL DATA'!$B:$J,9,FALSE)</f>
        <v>0</v>
      </c>
      <c r="E37" s="50">
        <f>VLOOKUP(A37,'[1]SQL DATA'!$B:$J,7,FALSE)</f>
        <v>0</v>
      </c>
      <c r="F37" s="49">
        <f>VLOOKUP(A37,'[1]SQL DATA'!$B:$J,6,FALSE)</f>
        <v>12720</v>
      </c>
      <c r="G37" s="20">
        <v>121900</v>
      </c>
      <c r="H37" s="20">
        <v>15000</v>
      </c>
    </row>
    <row r="38" spans="1:10" x14ac:dyDescent="0.2">
      <c r="A38" s="194" t="s">
        <v>440</v>
      </c>
      <c r="B38" s="188" t="str">
        <f>VLOOKUP(A38,'[1]SQL DATA'!$B:$J,3,FALSE)</f>
        <v>Transfer to Reserves - Transportation</v>
      </c>
      <c r="C38" s="29">
        <f>VLOOKUP(A38,'[1]SQL DATA'!$B:$K,10,FALSE)</f>
        <v>40000</v>
      </c>
      <c r="D38" s="189">
        <f>VLOOKUP(A38,'[1]SQL DATA'!$B:$J,9,FALSE)</f>
        <v>55000</v>
      </c>
      <c r="E38" s="189">
        <f>VLOOKUP(A38,'[1]SQL DATA'!$B:$J,7,FALSE)</f>
        <v>40000</v>
      </c>
      <c r="F38" s="189">
        <f>VLOOKUP(A38,'[1]SQL DATA'!$B:$J,6,FALSE)</f>
        <v>0</v>
      </c>
      <c r="G38" s="29">
        <v>40000</v>
      </c>
      <c r="H38" s="29">
        <f>63000-23000</f>
        <v>40000</v>
      </c>
    </row>
    <row r="39" spans="1:10" x14ac:dyDescent="0.2">
      <c r="A39" s="9" t="s">
        <v>441</v>
      </c>
      <c r="B39" s="72"/>
      <c r="C39" s="66">
        <f>C37+C38</f>
        <v>40000</v>
      </c>
      <c r="D39" s="66">
        <f>D37+D38</f>
        <v>55000</v>
      </c>
      <c r="E39" s="68">
        <f>SUM(E37:E38)</f>
        <v>40000</v>
      </c>
      <c r="F39" s="67">
        <f>SUM(F37:F38)</f>
        <v>12720</v>
      </c>
      <c r="G39" s="67">
        <f t="shared" ref="G39:H39" si="7">SUM(G37:G38)</f>
        <v>161900</v>
      </c>
      <c r="H39" s="67">
        <f t="shared" si="7"/>
        <v>55000</v>
      </c>
    </row>
    <row r="40" spans="1:10" x14ac:dyDescent="0.2">
      <c r="A40" s="9"/>
      <c r="B40" s="72"/>
      <c r="C40" s="72"/>
      <c r="D40" s="177"/>
      <c r="E40" s="178"/>
      <c r="F40" s="179"/>
      <c r="G40" s="87"/>
      <c r="H40" s="87"/>
    </row>
    <row r="41" spans="1:10" x14ac:dyDescent="0.2">
      <c r="A41" s="34" t="s">
        <v>21</v>
      </c>
      <c r="B41" s="72"/>
      <c r="C41" s="30">
        <f>C18+C22+C30+C34+C39</f>
        <v>180821.88999999998</v>
      </c>
      <c r="D41" s="30">
        <f>D18+D22+D30+D34+D39</f>
        <v>176624.17</v>
      </c>
      <c r="E41" s="19">
        <f t="shared" ref="E41:H41" si="8">E18+E22+E30+E34+E39</f>
        <v>162231.21000000002</v>
      </c>
      <c r="F41" s="18">
        <f t="shared" si="8"/>
        <v>121605.56</v>
      </c>
      <c r="G41" s="30">
        <f t="shared" si="8"/>
        <v>288450</v>
      </c>
      <c r="H41" s="30">
        <f t="shared" si="8"/>
        <v>252350</v>
      </c>
    </row>
    <row r="42" spans="1:10" ht="13.5" thickBot="1" x14ac:dyDescent="0.25">
      <c r="A42" s="34" t="s">
        <v>22</v>
      </c>
      <c r="B42" s="72"/>
      <c r="C42" s="118">
        <f>(C12)-C41</f>
        <v>-160811.88999999998</v>
      </c>
      <c r="D42" s="118">
        <f>(D12)-D41</f>
        <v>-126614.17000000001</v>
      </c>
      <c r="E42" s="70">
        <f t="shared" ref="E42:H42" si="9">(E12)-E41</f>
        <v>-25321.210000000021</v>
      </c>
      <c r="F42" s="69">
        <f t="shared" si="9"/>
        <v>-121595.56</v>
      </c>
      <c r="G42" s="118">
        <f t="shared" si="9"/>
        <v>-151540</v>
      </c>
      <c r="H42" s="118">
        <f t="shared" si="9"/>
        <v>-237340</v>
      </c>
      <c r="I42" s="24"/>
      <c r="J42" s="14"/>
    </row>
    <row r="43" spans="1:10" ht="13.5" thickTop="1" x14ac:dyDescent="0.2"/>
  </sheetData>
  <pageMargins left="0.74803149606299213" right="0.74803149606299213" top="0.5625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Transportation
</oddHeader>
    <oddFooter>&amp;L&amp;P of &amp;N &amp;C&amp;R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F7B00-5461-464C-A8C8-BFCDE8C437B5}">
  <dimension ref="A1:H72"/>
  <sheetViews>
    <sheetView topLeftCell="A34" zoomScale="150" zoomScaleNormal="150" zoomScalePageLayoutView="90" workbookViewId="0">
      <selection activeCell="G9" sqref="G9"/>
    </sheetView>
  </sheetViews>
  <sheetFormatPr defaultColWidth="8.85546875" defaultRowHeight="12.75" customHeight="1" x14ac:dyDescent="0.2"/>
  <cols>
    <col min="1" max="1" width="12.28515625" style="1" customWidth="1"/>
    <col min="2" max="2" width="21.85546875" style="1" customWidth="1"/>
    <col min="3" max="3" width="8.5703125" style="1" bestFit="1" customWidth="1"/>
    <col min="4" max="4" width="9.140625" style="1" bestFit="1" customWidth="1"/>
    <col min="5" max="5" width="8.5703125" style="1" bestFit="1" customWidth="1"/>
    <col min="6" max="6" width="9.42578125" style="1" customWidth="1"/>
    <col min="7" max="7" width="8.5703125" style="1" bestFit="1" customWidth="1"/>
    <col min="8" max="8" width="9.140625" style="1" bestFit="1" customWidth="1"/>
    <col min="9" max="16384" width="8.85546875" style="1"/>
  </cols>
  <sheetData>
    <row r="1" spans="1:8" ht="12.75" customHeight="1" x14ac:dyDescent="0.2">
      <c r="B1" s="71"/>
      <c r="C1" s="2">
        <v>2019</v>
      </c>
      <c r="D1" s="2">
        <v>2020</v>
      </c>
      <c r="E1" s="3">
        <v>2021</v>
      </c>
      <c r="F1" s="2">
        <v>2022</v>
      </c>
      <c r="G1" s="2">
        <v>2021</v>
      </c>
      <c r="H1" s="2">
        <v>2022</v>
      </c>
    </row>
    <row r="2" spans="1:8" ht="12.75" customHeight="1" x14ac:dyDescent="0.2">
      <c r="B2" s="2"/>
      <c r="C2" s="4" t="s">
        <v>0</v>
      </c>
      <c r="D2" s="5" t="s">
        <v>0</v>
      </c>
      <c r="E2" s="6" t="s">
        <v>0</v>
      </c>
      <c r="F2" s="5" t="s">
        <v>0</v>
      </c>
      <c r="G2" s="5" t="s">
        <v>1</v>
      </c>
      <c r="H2" s="5" t="s">
        <v>1</v>
      </c>
    </row>
    <row r="3" spans="1:8" s="7" customFormat="1" ht="12.75" customHeight="1" x14ac:dyDescent="0.2">
      <c r="A3" s="7" t="s">
        <v>239</v>
      </c>
      <c r="B3" s="195"/>
      <c r="C3" s="195"/>
      <c r="D3" s="195"/>
      <c r="E3" s="196"/>
      <c r="F3" s="195"/>
      <c r="G3" s="195"/>
      <c r="H3" s="195"/>
    </row>
    <row r="4" spans="1:8" ht="12.75" customHeight="1" x14ac:dyDescent="0.2">
      <c r="A4" s="1" t="s">
        <v>104</v>
      </c>
      <c r="E4" s="8"/>
    </row>
    <row r="5" spans="1:8" ht="12.75" customHeight="1" x14ac:dyDescent="0.2">
      <c r="A5" s="197" t="s">
        <v>442</v>
      </c>
      <c r="B5" s="1" t="str">
        <f>VLOOKUP(A5,'[1]SQL DATA'!$B:$J,3,FALSE)</f>
        <v>Transfer from Reserves - Water &amp; WTP</v>
      </c>
      <c r="C5" s="20">
        <f>VLOOKUP(A5,'[1]SQL DATA'!$B:$K,10,FALSE)</f>
        <v>0</v>
      </c>
      <c r="D5" s="73">
        <f>VLOOKUP(A5,'[1]SQL DATA'!$B:$J,9,FALSE)</f>
        <v>0</v>
      </c>
      <c r="E5" s="50">
        <f>VLOOKUP(A5,'[1]SQL DATA'!$B:$J,7,FALSE)</f>
        <v>24110</v>
      </c>
      <c r="F5" s="49">
        <f>VLOOKUP(A5,'[1]SQL DATA'!$B:$J,6,FALSE)</f>
        <v>0</v>
      </c>
      <c r="G5" s="20">
        <v>24110</v>
      </c>
      <c r="H5" s="20">
        <v>0</v>
      </c>
    </row>
    <row r="6" spans="1:8" ht="12.75" customHeight="1" x14ac:dyDescent="0.2">
      <c r="A6" s="9" t="s">
        <v>27</v>
      </c>
      <c r="B6" s="17"/>
      <c r="C6" s="59">
        <f>SUM(C5)</f>
        <v>0</v>
      </c>
      <c r="D6" s="59">
        <f>SUM(D5)</f>
        <v>0</v>
      </c>
      <c r="E6" s="48">
        <f>SUM(E5)</f>
        <v>24110</v>
      </c>
      <c r="F6" s="47">
        <f>SUM(F5)</f>
        <v>0</v>
      </c>
      <c r="G6" s="59">
        <f t="shared" ref="G6:H6" si="0">SUM(G5)</f>
        <v>24110</v>
      </c>
      <c r="H6" s="59">
        <f t="shared" si="0"/>
        <v>0</v>
      </c>
    </row>
    <row r="7" spans="1:8" ht="12.75" customHeight="1" x14ac:dyDescent="0.2">
      <c r="A7" s="37"/>
      <c r="B7" s="17"/>
      <c r="C7" s="17"/>
      <c r="D7" s="87"/>
      <c r="E7" s="53"/>
      <c r="F7" s="52"/>
      <c r="G7" s="87"/>
      <c r="H7" s="87"/>
    </row>
    <row r="8" spans="1:8" ht="12.75" customHeight="1" x14ac:dyDescent="0.2">
      <c r="A8" s="45" t="s">
        <v>28</v>
      </c>
      <c r="D8" s="73"/>
      <c r="E8" s="50"/>
      <c r="F8" s="49"/>
      <c r="G8" s="73"/>
      <c r="H8" s="73"/>
    </row>
    <row r="9" spans="1:8" ht="12.75" customHeight="1" x14ac:dyDescent="0.2">
      <c r="A9" s="198" t="s">
        <v>443</v>
      </c>
      <c r="B9" s="1" t="str">
        <f>VLOOKUP(A9,'[1]SQL DATA'!$B:$J,3,FALSE)</f>
        <v>Water - Water Sales</v>
      </c>
      <c r="C9" s="20">
        <f>VLOOKUP(A9,'[1]SQL DATA'!$B:$K,10,FALSE)</f>
        <v>331540.55</v>
      </c>
      <c r="D9" s="73">
        <f>VLOOKUP(A9,'[1]SQL DATA'!$B:$J,9,FALSE)</f>
        <v>323692.37</v>
      </c>
      <c r="E9" s="50">
        <f>VLOOKUP(A9,'[1]SQL DATA'!$B:$J,7,FALSE)</f>
        <v>337996.37</v>
      </c>
      <c r="F9" s="49">
        <f>VLOOKUP(A9,'[1]SQL DATA'!$B:$J,6,FALSE)</f>
        <v>195366.34</v>
      </c>
      <c r="G9" s="20">
        <v>330170</v>
      </c>
      <c r="H9" s="20">
        <v>336770</v>
      </c>
    </row>
    <row r="10" spans="1:8" ht="12.75" customHeight="1" x14ac:dyDescent="0.2">
      <c r="A10" s="198" t="s">
        <v>444</v>
      </c>
      <c r="B10" s="1" t="str">
        <f>VLOOKUP(A10,'[1]SQL DATA'!$B:$J,3,FALSE)</f>
        <v>Water - Custom Work</v>
      </c>
      <c r="C10" s="20">
        <f>VLOOKUP(A10,'[1]SQL DATA'!$B:$K,10,FALSE)</f>
        <v>1706.73</v>
      </c>
      <c r="D10" s="73">
        <f>VLOOKUP(A10,'[1]SQL DATA'!$B:$J,9,FALSE)</f>
        <v>2450</v>
      </c>
      <c r="E10" s="50">
        <f>VLOOKUP(A10,'[1]SQL DATA'!$B:$J,7,FALSE)</f>
        <v>6900</v>
      </c>
      <c r="F10" s="49">
        <f>VLOOKUP(A10,'[1]SQL DATA'!$B:$J,6,FALSE)</f>
        <v>75</v>
      </c>
      <c r="G10" s="20">
        <v>2000</v>
      </c>
      <c r="H10" s="20">
        <v>2000</v>
      </c>
    </row>
    <row r="11" spans="1:8" ht="12.75" customHeight="1" x14ac:dyDescent="0.2">
      <c r="A11" s="198" t="s">
        <v>445</v>
      </c>
      <c r="B11" s="1" t="str">
        <f>VLOOKUP(A11,'[1]SQL DATA'!$B:$J,3,FALSE)</f>
        <v>Water - Meter Sales</v>
      </c>
      <c r="C11" s="20">
        <f>VLOOKUP(A11,'[1]SQL DATA'!$B:$K,10,FALSE)</f>
        <v>0</v>
      </c>
      <c r="D11" s="73">
        <f>VLOOKUP(A11,'[1]SQL DATA'!$B:$J,9,FALSE)</f>
        <v>650.41999999999996</v>
      </c>
      <c r="E11" s="50">
        <f>VLOOKUP(A11,'[1]SQL DATA'!$B:$J,7,FALSE)</f>
        <v>1653.35</v>
      </c>
      <c r="F11" s="49">
        <f>VLOOKUP(A11,'[1]SQL DATA'!$B:$J,6,FALSE)</f>
        <v>0</v>
      </c>
      <c r="G11" s="20">
        <v>0</v>
      </c>
      <c r="H11" s="20">
        <v>0</v>
      </c>
    </row>
    <row r="12" spans="1:8" ht="13.5" customHeight="1" x14ac:dyDescent="0.2">
      <c r="A12" s="198" t="s">
        <v>446</v>
      </c>
      <c r="B12" s="1" t="str">
        <f>VLOOKUP(A12,'[1]SQL DATA'!$B:$J,3,FALSE)</f>
        <v>Water - Infrastructure Renewal Charges</v>
      </c>
      <c r="C12" s="20">
        <f>VLOOKUP(A12,'[1]SQL DATA'!$B:$K,10,FALSE)</f>
        <v>87358.6</v>
      </c>
      <c r="D12" s="73">
        <f>VLOOKUP(A12,'[1]SQL DATA'!$B:$J,9,FALSE)</f>
        <v>95370.97</v>
      </c>
      <c r="E12" s="50">
        <f>VLOOKUP(A12,'[1]SQL DATA'!$B:$J,7,FALSE)</f>
        <v>98408.75</v>
      </c>
      <c r="F12" s="49">
        <f>VLOOKUP(A12,'[1]SQL DATA'!$B:$J,6,FALSE)</f>
        <v>58786.42</v>
      </c>
      <c r="G12" s="20">
        <v>96300</v>
      </c>
      <c r="H12" s="20">
        <v>98230</v>
      </c>
    </row>
    <row r="13" spans="1:8" ht="13.5" customHeight="1" x14ac:dyDescent="0.2">
      <c r="A13" s="198" t="s">
        <v>447</v>
      </c>
      <c r="B13" s="1" t="str">
        <f>VLOOKUP(A13,'[1]SQL DATA'!$B:$J,3,FALSE)</f>
        <v>Water - Sale of Supplies</v>
      </c>
      <c r="C13" s="20">
        <f>VLOOKUP(A13,'[1]SQL DATA'!$B:$K,10,FALSE)</f>
        <v>0</v>
      </c>
      <c r="D13" s="73">
        <f>VLOOKUP(A13,'[1]SQL DATA'!$B:$J,9,FALSE)</f>
        <v>20.149999999999999</v>
      </c>
      <c r="E13" s="50">
        <f>VLOOKUP(A13,'[1]SQL DATA'!$B:$J,7,FALSE)</f>
        <v>49.86</v>
      </c>
      <c r="F13" s="49">
        <f>VLOOKUP(A13,'[1]SQL DATA'!$B:$J,6,FALSE)</f>
        <v>1193.3699999999999</v>
      </c>
      <c r="G13" s="20">
        <v>150</v>
      </c>
      <c r="H13" s="20">
        <v>150</v>
      </c>
    </row>
    <row r="14" spans="1:8" ht="12.75" customHeight="1" x14ac:dyDescent="0.2">
      <c r="A14" s="198" t="s">
        <v>448</v>
      </c>
      <c r="B14" s="1" t="str">
        <f>VLOOKUP(A14,'[1]SQL DATA'!$B:$J,3,FALSE)</f>
        <v>Water - Interest Charges</v>
      </c>
      <c r="C14" s="20">
        <f>VLOOKUP(A14,'[1]SQL DATA'!$B:$K,10,FALSE)</f>
        <v>3135.16</v>
      </c>
      <c r="D14" s="73">
        <f>VLOOKUP(A14,'[1]SQL DATA'!$B:$J,9,FALSE)</f>
        <v>3588.43</v>
      </c>
      <c r="E14" s="50">
        <f>VLOOKUP(A14,'[1]SQL DATA'!$B:$J,7,FALSE)</f>
        <v>4434.1499999999996</v>
      </c>
      <c r="F14" s="49">
        <f>VLOOKUP(A14,'[1]SQL DATA'!$B:$J,6,FALSE)</f>
        <v>2031.55</v>
      </c>
      <c r="G14" s="20">
        <v>3600</v>
      </c>
      <c r="H14" s="20">
        <v>4600</v>
      </c>
    </row>
    <row r="15" spans="1:8" ht="12.75" customHeight="1" x14ac:dyDescent="0.2">
      <c r="A15" s="9" t="s">
        <v>42</v>
      </c>
      <c r="B15" s="72"/>
      <c r="C15" s="199">
        <f>SUM(C9:C14)</f>
        <v>423741.04</v>
      </c>
      <c r="D15" s="199">
        <f>SUM(D9:D14)</f>
        <v>425772.34</v>
      </c>
      <c r="E15" s="200">
        <f>SUM(E9:E14)</f>
        <v>449442.48</v>
      </c>
      <c r="F15" s="201">
        <f>SUM(F9:F14)</f>
        <v>257452.68</v>
      </c>
      <c r="G15" s="199">
        <f t="shared" ref="G15:H15" si="1">SUM(G9:G14)</f>
        <v>432220</v>
      </c>
      <c r="H15" s="199">
        <f t="shared" si="1"/>
        <v>441750</v>
      </c>
    </row>
    <row r="16" spans="1:8" ht="12.75" customHeight="1" x14ac:dyDescent="0.2">
      <c r="A16" s="9"/>
      <c r="B16" s="72"/>
      <c r="C16" s="72"/>
      <c r="D16" s="87"/>
      <c r="E16" s="53"/>
      <c r="F16" s="52"/>
      <c r="G16" s="87"/>
      <c r="H16" s="87"/>
    </row>
    <row r="17" spans="1:8" ht="12.75" customHeight="1" x14ac:dyDescent="0.2">
      <c r="A17" s="45" t="s">
        <v>43</v>
      </c>
      <c r="D17" s="73"/>
      <c r="E17" s="50"/>
      <c r="F17" s="49"/>
      <c r="G17" s="73"/>
      <c r="H17" s="73"/>
    </row>
    <row r="18" spans="1:8" ht="12.75" customHeight="1" x14ac:dyDescent="0.2">
      <c r="A18" s="1" t="s">
        <v>449</v>
      </c>
      <c r="B18" s="1" t="str">
        <f>VLOOKUP(A18,'[1]SQL DATA'!$B:$J,3,FALSE)</f>
        <v>Conditional - Prov - MEEP</v>
      </c>
      <c r="C18" s="83">
        <f>VLOOKUP(A18,'[1]SQL DATA'!$B:$K,10,FALSE)</f>
        <v>0</v>
      </c>
      <c r="D18" s="83">
        <f>VLOOKUP(A18,'[1]SQL DATA'!$B:$J,9,FALSE)</f>
        <v>48878.19</v>
      </c>
      <c r="E18" s="85">
        <f>VLOOKUP(A18,'[1]SQL DATA'!$B:$J,7,FALSE)</f>
        <v>158665.81</v>
      </c>
      <c r="F18" s="84">
        <f>VLOOKUP(A18,'[1]SQL DATA'!$B:$J,6,FALSE)</f>
        <v>0</v>
      </c>
      <c r="G18" s="83"/>
      <c r="H18" s="83">
        <v>0</v>
      </c>
    </row>
    <row r="19" spans="1:8" ht="12.75" customHeight="1" x14ac:dyDescent="0.2">
      <c r="A19" s="139" t="s">
        <v>174</v>
      </c>
      <c r="B19" s="82"/>
      <c r="C19" s="73">
        <f>SUM(C18:C18)</f>
        <v>0</v>
      </c>
      <c r="D19" s="73">
        <f>SUM(D18:D18)</f>
        <v>48878.19</v>
      </c>
      <c r="E19" s="50">
        <f>SUM(E18:E18)</f>
        <v>158665.81</v>
      </c>
      <c r="F19" s="49">
        <f>SUM(F18:F18)</f>
        <v>0</v>
      </c>
      <c r="G19" s="73"/>
      <c r="H19" s="73"/>
    </row>
    <row r="20" spans="1:8" ht="12.75" customHeight="1" x14ac:dyDescent="0.2">
      <c r="A20" s="139"/>
      <c r="B20" s="82"/>
      <c r="C20" s="73"/>
      <c r="D20" s="73"/>
      <c r="E20" s="50"/>
      <c r="F20" s="49"/>
      <c r="G20" s="73"/>
      <c r="H20" s="73"/>
    </row>
    <row r="21" spans="1:8" ht="12.75" customHeight="1" x14ac:dyDescent="0.2">
      <c r="A21" s="51" t="s">
        <v>7</v>
      </c>
      <c r="B21" s="72"/>
      <c r="C21" s="202">
        <f>C6+C15+C19</f>
        <v>423741.04</v>
      </c>
      <c r="D21" s="202">
        <f t="shared" ref="D21:H21" si="2">D6+D15+D19</f>
        <v>474650.53</v>
      </c>
      <c r="E21" s="203">
        <f t="shared" si="2"/>
        <v>632218.29</v>
      </c>
      <c r="F21" s="204">
        <f t="shared" si="2"/>
        <v>257452.68</v>
      </c>
      <c r="G21" s="202">
        <f t="shared" si="2"/>
        <v>456330</v>
      </c>
      <c r="H21" s="202">
        <f t="shared" si="2"/>
        <v>441750</v>
      </c>
    </row>
    <row r="22" spans="1:8" ht="12.75" customHeight="1" x14ac:dyDescent="0.2">
      <c r="A22" s="51"/>
      <c r="B22" s="72"/>
      <c r="C22" s="72"/>
      <c r="D22" s="87"/>
      <c r="E22" s="53"/>
      <c r="F22" s="52"/>
      <c r="G22" s="87"/>
      <c r="H22" s="87"/>
    </row>
    <row r="23" spans="1:8" ht="12.75" customHeight="1" x14ac:dyDescent="0.2">
      <c r="A23" s="7" t="s">
        <v>9</v>
      </c>
      <c r="D23" s="73"/>
      <c r="E23" s="50"/>
      <c r="F23" s="49"/>
      <c r="G23" s="73"/>
      <c r="H23" s="73"/>
    </row>
    <row r="24" spans="1:8" ht="12.75" customHeight="1" x14ac:dyDescent="0.2">
      <c r="A24" s="45" t="s">
        <v>51</v>
      </c>
      <c r="D24" s="73"/>
      <c r="E24" s="50"/>
      <c r="F24" s="49"/>
      <c r="G24" s="73"/>
      <c r="H24" s="73"/>
    </row>
    <row r="25" spans="1:8" ht="12.75" customHeight="1" x14ac:dyDescent="0.2">
      <c r="A25" s="198" t="s">
        <v>450</v>
      </c>
      <c r="B25" s="1" t="str">
        <f>VLOOKUP(A25,'[1]SQL DATA'!$B:$J,3,FALSE)</f>
        <v>UT - Water - Salaries</v>
      </c>
      <c r="C25" s="20">
        <f>VLOOKUP(A25,'[1]SQL DATA'!$B:$K,10,FALSE)</f>
        <v>51963.83</v>
      </c>
      <c r="D25" s="73">
        <f>VLOOKUP(A25,'[1]SQL DATA'!$B:$J,9,FALSE)</f>
        <v>41701.050000000003</v>
      </c>
      <c r="E25" s="50">
        <f>VLOOKUP(A25,'[1]SQL DATA'!$B:$J,7,FALSE)</f>
        <v>56682.73</v>
      </c>
      <c r="F25" s="49">
        <f>VLOOKUP(A25,'[1]SQL DATA'!$B:$J,6,FALSE)</f>
        <v>30246.49</v>
      </c>
      <c r="G25" s="20">
        <v>43000</v>
      </c>
      <c r="H25" s="20">
        <v>60230</v>
      </c>
    </row>
    <row r="26" spans="1:8" ht="12.75" customHeight="1" x14ac:dyDescent="0.2">
      <c r="A26" s="198" t="s">
        <v>451</v>
      </c>
      <c r="B26" s="1" t="str">
        <f>VLOOKUP(A26,'[1]SQL DATA'!$B:$J,3,FALSE)</f>
        <v>UT - Water - Benefits - CPP</v>
      </c>
      <c r="C26" s="20">
        <f>VLOOKUP(A26,'[1]SQL DATA'!$B:$K,10,FALSE)</f>
        <v>1287.5899999999999</v>
      </c>
      <c r="D26" s="73">
        <f>VLOOKUP(A26,'[1]SQL DATA'!$B:$J,9,FALSE)</f>
        <v>1720.04</v>
      </c>
      <c r="E26" s="50">
        <f>VLOOKUP(A26,'[1]SQL DATA'!$B:$J,7,FALSE)</f>
        <v>3469.83</v>
      </c>
      <c r="F26" s="49">
        <f>VLOOKUP(A26,'[1]SQL DATA'!$B:$J,6,FALSE)</f>
        <v>0</v>
      </c>
      <c r="G26" s="20">
        <v>1800</v>
      </c>
      <c r="H26" s="20">
        <f>H25*0.0495-1</f>
        <v>2980.3850000000002</v>
      </c>
    </row>
    <row r="27" spans="1:8" ht="12.75" customHeight="1" x14ac:dyDescent="0.2">
      <c r="A27" s="198" t="s">
        <v>452</v>
      </c>
      <c r="B27" s="1" t="str">
        <f>VLOOKUP(A27,'[1]SQL DATA'!$B:$J,3,FALSE)</f>
        <v>UT - Water - Benefits - EI</v>
      </c>
      <c r="C27" s="20">
        <f>VLOOKUP(A27,'[1]SQL DATA'!$B:$K,10,FALSE)</f>
        <v>1777.08</v>
      </c>
      <c r="D27" s="73">
        <f>VLOOKUP(A27,'[1]SQL DATA'!$B:$J,9,FALSE)</f>
        <v>1185.92</v>
      </c>
      <c r="E27" s="50">
        <f>VLOOKUP(A27,'[1]SQL DATA'!$B:$J,7,FALSE)</f>
        <v>1285.1300000000001</v>
      </c>
      <c r="F27" s="49">
        <f>VLOOKUP(A27,'[1]SQL DATA'!$B:$J,6,FALSE)</f>
        <v>0</v>
      </c>
      <c r="G27" s="20">
        <v>1200</v>
      </c>
      <c r="H27" s="20">
        <f>H25*0.02442-1</f>
        <v>1469.8166000000001</v>
      </c>
    </row>
    <row r="28" spans="1:8" ht="12.75" customHeight="1" x14ac:dyDescent="0.2">
      <c r="A28" s="197" t="s">
        <v>453</v>
      </c>
      <c r="B28" s="1" t="str">
        <f>VLOOKUP(A28,'[1]SQL DATA'!$B:$J,3,FALSE)</f>
        <v>UT- Water - Benefits - MEPP</v>
      </c>
      <c r="C28" s="20">
        <f>VLOOKUP(A28,'[1]SQL DATA'!$B:$K,10,FALSE)</f>
        <v>3810.18</v>
      </c>
      <c r="D28" s="73">
        <f>VLOOKUP(A28,'[1]SQL DATA'!$B:$J,9,FALSE)</f>
        <v>4303.99</v>
      </c>
      <c r="E28" s="50">
        <f>VLOOKUP(A28,'[1]SQL DATA'!$B:$J,7,FALSE)</f>
        <v>6284.38</v>
      </c>
      <c r="F28" s="49">
        <f>VLOOKUP(A28,'[1]SQL DATA'!$B:$J,6,FALSE)</f>
        <v>2665.92</v>
      </c>
      <c r="G28" s="20">
        <v>4400</v>
      </c>
      <c r="H28" s="20">
        <f>H25*0.09-1</f>
        <v>5419.7</v>
      </c>
    </row>
    <row r="29" spans="1:8" ht="12.75" customHeight="1" x14ac:dyDescent="0.2">
      <c r="A29" s="197" t="s">
        <v>454</v>
      </c>
      <c r="B29" s="1" t="str">
        <f>VLOOKUP(A29,'[1]SQL DATA'!$B:$J,3,FALSE)</f>
        <v>UT - Water -  Benefits - WCB</v>
      </c>
      <c r="C29" s="20">
        <f>VLOOKUP(A29,'[1]SQL DATA'!$B:$K,10,FALSE)</f>
        <v>744.45</v>
      </c>
      <c r="D29" s="73">
        <f>VLOOKUP(A29,'[1]SQL DATA'!$B:$J,9,FALSE)</f>
        <v>745.67</v>
      </c>
      <c r="E29" s="50">
        <f>VLOOKUP(A29,'[1]SQL DATA'!$B:$J,7,FALSE)</f>
        <v>767.9</v>
      </c>
      <c r="F29" s="49">
        <f>VLOOKUP(A29,'[1]SQL DATA'!$B:$J,6,FALSE)</f>
        <v>780.37</v>
      </c>
      <c r="G29" s="73">
        <v>900</v>
      </c>
      <c r="H29" s="73">
        <v>800</v>
      </c>
    </row>
    <row r="30" spans="1:8" ht="12.75" customHeight="1" x14ac:dyDescent="0.2">
      <c r="A30" s="197" t="s">
        <v>455</v>
      </c>
      <c r="B30" s="1" t="str">
        <f>VLOOKUP(A30,'[1]SQL DATA'!$B:$J,3,FALSE)</f>
        <v>UT - Water - Benefits - Group Benefits</v>
      </c>
      <c r="C30" s="83">
        <f>VLOOKUP(A30,'[1]SQL DATA'!$B:$K,10,FALSE)</f>
        <v>2075.36</v>
      </c>
      <c r="D30" s="83">
        <f>VLOOKUP(A30,'[1]SQL DATA'!$B:$J,9,FALSE)</f>
        <v>2916.72</v>
      </c>
      <c r="E30" s="85">
        <f>VLOOKUP(A30,'[1]SQL DATA'!$B:$J,7,FALSE)</f>
        <v>4135.5</v>
      </c>
      <c r="F30" s="84">
        <f>VLOOKUP(A30,'[1]SQL DATA'!$B:$J,6,FALSE)</f>
        <v>980.13</v>
      </c>
      <c r="G30" s="83">
        <v>3100</v>
      </c>
      <c r="H30" s="83">
        <f>H25*0.06-4</f>
        <v>3609.7999999999997</v>
      </c>
    </row>
    <row r="31" spans="1:8" ht="12.75" customHeight="1" x14ac:dyDescent="0.2">
      <c r="A31" s="9" t="s">
        <v>58</v>
      </c>
      <c r="B31" s="72"/>
      <c r="C31" s="205">
        <f>SUM(C25:C30)</f>
        <v>61658.49</v>
      </c>
      <c r="D31" s="205">
        <f>SUM(D25:D30)</f>
        <v>52573.39</v>
      </c>
      <c r="E31" s="206">
        <f>SUM(E25:E30)</f>
        <v>72625.47</v>
      </c>
      <c r="F31" s="207">
        <f>SUM(F25:F30)</f>
        <v>34672.910000000003</v>
      </c>
      <c r="G31" s="205">
        <f t="shared" ref="G31:H31" si="3">SUM(G25:G30)</f>
        <v>54400</v>
      </c>
      <c r="H31" s="205">
        <f t="shared" si="3"/>
        <v>74509.7016</v>
      </c>
    </row>
    <row r="32" spans="1:8" ht="12.75" customHeight="1" x14ac:dyDescent="0.2">
      <c r="A32" s="1" t="s">
        <v>8</v>
      </c>
      <c r="D32" s="73"/>
      <c r="E32" s="50"/>
      <c r="F32" s="49"/>
      <c r="G32" s="73"/>
      <c r="H32" s="73"/>
    </row>
    <row r="33" spans="1:8" ht="12.75" customHeight="1" x14ac:dyDescent="0.2">
      <c r="A33" s="45" t="s">
        <v>59</v>
      </c>
      <c r="D33" s="73"/>
      <c r="E33" s="50"/>
      <c r="F33" s="49"/>
      <c r="G33" s="73"/>
      <c r="H33" s="73"/>
    </row>
    <row r="34" spans="1:8" ht="12.75" customHeight="1" x14ac:dyDescent="0.2">
      <c r="A34" s="197" t="s">
        <v>456</v>
      </c>
      <c r="B34" s="1" t="str">
        <f>VLOOKUP(A34,'[1]SQL DATA'!$B:$J,3,FALSE)</f>
        <v>UT - Water - Cont. Repairs - W.T.P.</v>
      </c>
      <c r="C34" s="73">
        <f>VLOOKUP(A34,'[1]SQL DATA'!$B:$K,10,FALSE)</f>
        <v>7589.4</v>
      </c>
      <c r="D34" s="73">
        <f>VLOOKUP(A34,'[1]SQL DATA'!$B:$J,9,FALSE)</f>
        <v>6033.17</v>
      </c>
      <c r="E34" s="50">
        <f>VLOOKUP(A34,'[1]SQL DATA'!$B:$J,7,FALSE)</f>
        <v>16712.5</v>
      </c>
      <c r="F34" s="49">
        <f>VLOOKUP(A34,'[1]SQL DATA'!$B:$J,6,FALSE)</f>
        <v>15076.46</v>
      </c>
      <c r="G34" s="20">
        <v>30830</v>
      </c>
      <c r="H34" s="20">
        <v>30830</v>
      </c>
    </row>
    <row r="35" spans="1:8" ht="12.75" customHeight="1" x14ac:dyDescent="0.2">
      <c r="A35" s="197" t="s">
        <v>457</v>
      </c>
      <c r="B35" s="1" t="str">
        <f>VLOOKUP(A35,'[1]SQL DATA'!$B:$J,3,FALSE)</f>
        <v>UT - Water - Cont. Repairs - Line Repair</v>
      </c>
      <c r="C35" s="83">
        <f>VLOOKUP(A35,'[1]SQL DATA'!$B:$K,10,FALSE)</f>
        <v>25070.05</v>
      </c>
      <c r="D35" s="83">
        <f>VLOOKUP(A35,'[1]SQL DATA'!$B:$J,9,FALSE)</f>
        <v>16517.71</v>
      </c>
      <c r="E35" s="85">
        <f>VLOOKUP(A35,'[1]SQL DATA'!$B:$J,7,FALSE)</f>
        <v>49592.94</v>
      </c>
      <c r="F35" s="84">
        <f>VLOOKUP(A35,'[1]SQL DATA'!$B:$J,6,FALSE)</f>
        <v>4851.3900000000003</v>
      </c>
      <c r="G35" s="83">
        <v>50000</v>
      </c>
      <c r="H35" s="83">
        <v>50000</v>
      </c>
    </row>
    <row r="36" spans="1:8" ht="12.75" customHeight="1" x14ac:dyDescent="0.2">
      <c r="A36" s="9" t="s">
        <v>66</v>
      </c>
      <c r="B36" s="72"/>
      <c r="C36" s="208">
        <f>SUM(C34:C35)</f>
        <v>32659.449999999997</v>
      </c>
      <c r="D36" s="208">
        <f>SUM(D34:D35)</f>
        <v>22550.879999999997</v>
      </c>
      <c r="E36" s="209">
        <f t="shared" ref="E36:H36" si="4">SUM(E34:E35)</f>
        <v>66305.440000000002</v>
      </c>
      <c r="F36" s="210">
        <f t="shared" si="4"/>
        <v>19927.849999999999</v>
      </c>
      <c r="G36" s="208">
        <f t="shared" si="4"/>
        <v>80830</v>
      </c>
      <c r="H36" s="208">
        <f t="shared" si="4"/>
        <v>80830</v>
      </c>
    </row>
    <row r="37" spans="1:8" ht="12.75" customHeight="1" x14ac:dyDescent="0.2">
      <c r="A37" s="1" t="s">
        <v>8</v>
      </c>
      <c r="D37" s="73"/>
      <c r="E37" s="50"/>
      <c r="F37" s="49"/>
      <c r="G37" s="73"/>
      <c r="H37" s="73"/>
    </row>
    <row r="38" spans="1:8" ht="12.75" customHeight="1" x14ac:dyDescent="0.2">
      <c r="A38" s="45" t="s">
        <v>67</v>
      </c>
      <c r="B38" s="17"/>
      <c r="C38" s="17"/>
      <c r="D38" s="87"/>
      <c r="E38" s="53"/>
      <c r="F38" s="52"/>
      <c r="G38" s="87"/>
      <c r="H38" s="87"/>
    </row>
    <row r="39" spans="1:8" ht="12.75" customHeight="1" x14ac:dyDescent="0.2">
      <c r="A39" s="197" t="s">
        <v>458</v>
      </c>
      <c r="B39" s="1" t="str">
        <f>VLOOKUP(A39,'[1]SQL DATA'!$B:$J,3,FALSE)</f>
        <v>UT - Water - Heat</v>
      </c>
      <c r="C39" s="20">
        <f>VLOOKUP(A39,'[1]SQL DATA'!$B:$K,10,FALSE)</f>
        <v>1589.51</v>
      </c>
      <c r="D39" s="73">
        <f>VLOOKUP(A39,'[1]SQL DATA'!$B:$J,9,FALSE)</f>
        <v>1718.53</v>
      </c>
      <c r="E39" s="50">
        <f>VLOOKUP(A39,'[1]SQL DATA'!$B:$J,7,FALSE)</f>
        <v>1391.06</v>
      </c>
      <c r="F39" s="49">
        <f>VLOOKUP(A39,'[1]SQL DATA'!$B:$J,6,FALSE)</f>
        <v>1150.54</v>
      </c>
      <c r="G39" s="73">
        <v>2000</v>
      </c>
      <c r="H39" s="73">
        <v>1500</v>
      </c>
    </row>
    <row r="40" spans="1:8" ht="12.75" customHeight="1" x14ac:dyDescent="0.2">
      <c r="A40" s="197" t="s">
        <v>459</v>
      </c>
      <c r="B40" s="1" t="str">
        <f>VLOOKUP(A40,'[1]SQL DATA'!$B:$J,3,FALSE)</f>
        <v>UT - Water - Power</v>
      </c>
      <c r="C40" s="20">
        <f>VLOOKUP(A40,'[1]SQL DATA'!$B:$K,10,FALSE)</f>
        <v>26223.65</v>
      </c>
      <c r="D40" s="73">
        <f>VLOOKUP(A40,'[1]SQL DATA'!$B:$J,9,FALSE)</f>
        <v>26076.75</v>
      </c>
      <c r="E40" s="50">
        <f>VLOOKUP(A40,'[1]SQL DATA'!$B:$J,7,FALSE)</f>
        <v>22914.16</v>
      </c>
      <c r="F40" s="49">
        <f>VLOOKUP(A40,'[1]SQL DATA'!$B:$J,6,FALSE)</f>
        <v>14605.32</v>
      </c>
      <c r="G40" s="20">
        <v>26000</v>
      </c>
      <c r="H40" s="20">
        <v>24460</v>
      </c>
    </row>
    <row r="41" spans="1:8" ht="12.75" customHeight="1" x14ac:dyDescent="0.2">
      <c r="A41" s="197" t="s">
        <v>460</v>
      </c>
      <c r="B41" s="1" t="str">
        <f>VLOOKUP(A41,'[1]SQL DATA'!$B:$J,3,FALSE)</f>
        <v>UT - Water - Telephone</v>
      </c>
      <c r="C41" s="83">
        <f>VLOOKUP(A41,'[1]SQL DATA'!$B:$K,10,FALSE)</f>
        <v>1634.87</v>
      </c>
      <c r="D41" s="83">
        <f>VLOOKUP(A41,'[1]SQL DATA'!$B:$J,9,FALSE)</f>
        <v>1550.82</v>
      </c>
      <c r="E41" s="85">
        <f>VLOOKUP(A41,'[1]SQL DATA'!$B:$J,7,FALSE)</f>
        <v>1348.1</v>
      </c>
      <c r="F41" s="84">
        <f>VLOOKUP(A41,'[1]SQL DATA'!$B:$J,6,FALSE)</f>
        <v>689.36</v>
      </c>
      <c r="G41" s="83">
        <v>1540</v>
      </c>
      <c r="H41" s="83">
        <v>1650</v>
      </c>
    </row>
    <row r="42" spans="1:8" ht="12.75" customHeight="1" x14ac:dyDescent="0.2">
      <c r="A42" s="9" t="s">
        <v>72</v>
      </c>
      <c r="B42" s="72"/>
      <c r="C42" s="208">
        <f>SUM(C39:C41)</f>
        <v>29448.03</v>
      </c>
      <c r="D42" s="208">
        <f>SUM(D39:D41)</f>
        <v>29346.1</v>
      </c>
      <c r="E42" s="209">
        <f>SUM(E39:E41)</f>
        <v>25653.32</v>
      </c>
      <c r="F42" s="210">
        <f>SUM(F39:F41)</f>
        <v>16445.22</v>
      </c>
      <c r="G42" s="208">
        <f t="shared" ref="G42:H42" si="5">SUM(G39:G41)</f>
        <v>29540</v>
      </c>
      <c r="H42" s="208">
        <f t="shared" si="5"/>
        <v>27610</v>
      </c>
    </row>
    <row r="43" spans="1:8" ht="12.75" customHeight="1" x14ac:dyDescent="0.2">
      <c r="A43" s="1" t="s">
        <v>8</v>
      </c>
      <c r="D43" s="73"/>
      <c r="E43" s="50"/>
      <c r="F43" s="49"/>
      <c r="G43" s="73"/>
      <c r="H43" s="73"/>
    </row>
    <row r="44" spans="1:8" ht="12.75" customHeight="1" x14ac:dyDescent="0.2">
      <c r="A44" s="45" t="s">
        <v>111</v>
      </c>
      <c r="D44" s="73"/>
      <c r="E44" s="50"/>
      <c r="F44" s="49"/>
      <c r="G44" s="73"/>
      <c r="H44" s="73"/>
    </row>
    <row r="45" spans="1:8" ht="12.75" customHeight="1" x14ac:dyDescent="0.2">
      <c r="A45" s="197" t="s">
        <v>461</v>
      </c>
      <c r="B45" s="1" t="str">
        <f>VLOOKUP(A45,'[1]SQL DATA'!$B:$J,3,FALSE)</f>
        <v>UT - Water - Insurance - General &amp; Bond</v>
      </c>
      <c r="C45" s="20">
        <f>VLOOKUP(A45,'[1]SQL DATA'!$B:$K,10,FALSE)</f>
        <v>2211.16</v>
      </c>
      <c r="D45" s="73">
        <f>VLOOKUP(A45,'[1]SQL DATA'!$B:$J,9,FALSE)</f>
        <v>2093.56</v>
      </c>
      <c r="E45" s="50">
        <f>VLOOKUP(A45,'[1]SQL DATA'!$B:$J,7,FALSE)</f>
        <v>2536.13</v>
      </c>
      <c r="F45" s="49">
        <f>VLOOKUP(A45,'[1]SQL DATA'!$B:$J,6,FALSE)</f>
        <v>2749.18</v>
      </c>
      <c r="G45" s="20">
        <v>2540</v>
      </c>
      <c r="H45" s="20">
        <v>2750</v>
      </c>
    </row>
    <row r="46" spans="1:8" ht="12.75" customHeight="1" x14ac:dyDescent="0.2">
      <c r="A46" s="197" t="s">
        <v>462</v>
      </c>
      <c r="B46" s="1" t="str">
        <f>VLOOKUP(A46,'[1]SQL DATA'!$B:$J,3,FALSE)</f>
        <v>UT - Water - Memberships/Subscriptions</v>
      </c>
      <c r="C46" s="20">
        <f>VLOOKUP(A46,'[1]SQL DATA'!$B:$K,10,FALSE)</f>
        <v>3101.62</v>
      </c>
      <c r="D46" s="73">
        <f>VLOOKUP(A46,'[1]SQL DATA'!$B:$J,9,FALSE)</f>
        <v>5590.44</v>
      </c>
      <c r="E46" s="50">
        <f>VLOOKUP(A46,'[1]SQL DATA'!$B:$J,7,FALSE)</f>
        <v>3931.54</v>
      </c>
      <c r="F46" s="49">
        <f>VLOOKUP(A46,'[1]SQL DATA'!$B:$J,6,FALSE)</f>
        <v>4519.91</v>
      </c>
      <c r="G46" s="20">
        <v>4620</v>
      </c>
      <c r="H46" s="20">
        <v>4720</v>
      </c>
    </row>
    <row r="47" spans="1:8" ht="12.75" customHeight="1" x14ac:dyDescent="0.2">
      <c r="A47" s="197" t="s">
        <v>463</v>
      </c>
      <c r="B47" s="1" t="str">
        <f>VLOOKUP(A47,'[1]SQL DATA'!$B:$J,3,FALSE)</f>
        <v>UT - Water - Conference Fees/Training</v>
      </c>
      <c r="C47" s="20">
        <f>VLOOKUP(A47,'[1]SQL DATA'!$B:$K,10,FALSE)</f>
        <v>3322.22</v>
      </c>
      <c r="D47" s="73">
        <f>VLOOKUP(A47,'[1]SQL DATA'!$B:$J,9,FALSE)</f>
        <v>150</v>
      </c>
      <c r="E47" s="50">
        <f>VLOOKUP(A47,'[1]SQL DATA'!$B:$J,7,FALSE)</f>
        <v>1139.99</v>
      </c>
      <c r="F47" s="49">
        <f>VLOOKUP(A47,'[1]SQL DATA'!$B:$J,6,FALSE)</f>
        <v>0</v>
      </c>
      <c r="G47" s="73">
        <v>1500</v>
      </c>
      <c r="H47" s="73">
        <v>1500</v>
      </c>
    </row>
    <row r="48" spans="1:8" ht="12.75" customHeight="1" x14ac:dyDescent="0.2">
      <c r="A48" s="197" t="s">
        <v>464</v>
      </c>
      <c r="B48" s="1" t="str">
        <f>VLOOKUP(A48,'[1]SQL DATA'!$B:$J,3,FALSE)</f>
        <v>UT - Water - Laboratory Testing</v>
      </c>
      <c r="C48" s="20">
        <f>VLOOKUP(A48,'[1]SQL DATA'!$B:$K,10,FALSE)</f>
        <v>4563.8900000000003</v>
      </c>
      <c r="D48" s="73">
        <f>VLOOKUP(A48,'[1]SQL DATA'!$B:$J,9,FALSE)</f>
        <v>6882.89</v>
      </c>
      <c r="E48" s="50">
        <f>VLOOKUP(A48,'[1]SQL DATA'!$B:$J,7,FALSE)</f>
        <v>8274.6</v>
      </c>
      <c r="F48" s="49">
        <f>VLOOKUP(A48,'[1]SQL DATA'!$B:$J,6,FALSE)</f>
        <v>6717.36</v>
      </c>
      <c r="G48" s="20">
        <v>5800</v>
      </c>
      <c r="H48" s="20">
        <v>5800</v>
      </c>
    </row>
    <row r="49" spans="1:8" ht="12.75" customHeight="1" x14ac:dyDescent="0.2">
      <c r="A49" s="197" t="s">
        <v>465</v>
      </c>
      <c r="B49" s="1" t="str">
        <f>VLOOKUP(A49,'[1]SQL DATA'!$B:$J,3,FALSE)</f>
        <v>UT - Water - Postage</v>
      </c>
      <c r="C49" s="20">
        <f>VLOOKUP(A49,'[1]SQL DATA'!$B:$K,10,FALSE)</f>
        <v>3000</v>
      </c>
      <c r="D49" s="73">
        <f>VLOOKUP(A49,'[1]SQL DATA'!$B:$J,9,FALSE)</f>
        <v>3000</v>
      </c>
      <c r="E49" s="50">
        <f>VLOOKUP(A49,'[1]SQL DATA'!$B:$J,7,FALSE)</f>
        <v>3000</v>
      </c>
      <c r="F49" s="49">
        <f>VLOOKUP(A49,'[1]SQL DATA'!$B:$J,6,FALSE)</f>
        <v>1750</v>
      </c>
      <c r="G49" s="20">
        <v>3000</v>
      </c>
      <c r="H49" s="20">
        <v>3000</v>
      </c>
    </row>
    <row r="50" spans="1:8" ht="12.75" customHeight="1" x14ac:dyDescent="0.2">
      <c r="A50" s="197" t="s">
        <v>466</v>
      </c>
      <c r="B50" s="1" t="str">
        <f>VLOOKUP(A50,'[1]SQL DATA'!$B:$J,3,FALSE)</f>
        <v>UT - Water - Office Supplies</v>
      </c>
      <c r="C50" s="20">
        <f>VLOOKUP(A50,'[1]SQL DATA'!$B:$K,10,FALSE)</f>
        <v>5000</v>
      </c>
      <c r="D50" s="73">
        <f>VLOOKUP(A50,'[1]SQL DATA'!$B:$J,9,FALSE)</f>
        <v>5000</v>
      </c>
      <c r="E50" s="50">
        <f>VLOOKUP(A50,'[1]SQL DATA'!$B:$J,7,FALSE)</f>
        <v>4999.57</v>
      </c>
      <c r="F50" s="49">
        <f>VLOOKUP(A50,'[1]SQL DATA'!$B:$J,6,FALSE)</f>
        <v>2941.94</v>
      </c>
      <c r="G50" s="20">
        <v>5000</v>
      </c>
      <c r="H50" s="20">
        <v>5000</v>
      </c>
    </row>
    <row r="51" spans="1:8" ht="12.75" customHeight="1" x14ac:dyDescent="0.2">
      <c r="A51" s="197" t="s">
        <v>467</v>
      </c>
      <c r="B51" s="1" t="str">
        <f>VLOOKUP(A51,'[1]SQL DATA'!$B:$J,3,FALSE)</f>
        <v>UT - Water - Shop Supplies</v>
      </c>
      <c r="C51" s="20">
        <f>VLOOKUP(A51,'[1]SQL DATA'!$B:$K,10,FALSE)</f>
        <v>3169.4</v>
      </c>
      <c r="D51" s="73">
        <f>VLOOKUP(A51,'[1]SQL DATA'!$B:$J,9,FALSE)</f>
        <v>4029.94</v>
      </c>
      <c r="E51" s="50">
        <f>VLOOKUP(A51,'[1]SQL DATA'!$B:$J,7,FALSE)</f>
        <v>4289.03</v>
      </c>
      <c r="F51" s="49">
        <f>VLOOKUP(A51,'[1]SQL DATA'!$B:$J,6,FALSE)</f>
        <v>2058.73</v>
      </c>
      <c r="G51" s="20">
        <v>10000</v>
      </c>
      <c r="H51" s="20">
        <v>10000</v>
      </c>
    </row>
    <row r="52" spans="1:8" ht="12.75" customHeight="1" x14ac:dyDescent="0.2">
      <c r="A52" s="197" t="s">
        <v>468</v>
      </c>
      <c r="B52" s="1" t="str">
        <f>VLOOKUP(A52,'[1]SQL DATA'!$B:$J,3,FALSE)</f>
        <v>UT - Water - Small Tools &amp; Equipment</v>
      </c>
      <c r="C52" s="20">
        <f>VLOOKUP(A52,'[1]SQL DATA'!$B:$K,10,FALSE)</f>
        <v>31164.65</v>
      </c>
      <c r="D52" s="73">
        <f>VLOOKUP(A52,'[1]SQL DATA'!$B:$J,9,FALSE)</f>
        <v>4812.68</v>
      </c>
      <c r="E52" s="50">
        <f>VLOOKUP(A52,'[1]SQL DATA'!$B:$J,7,FALSE)</f>
        <v>15206.49</v>
      </c>
      <c r="F52" s="49">
        <f>VLOOKUP(A52,'[1]SQL DATA'!$B:$J,6,FALSE)</f>
        <v>4461.7299999999996</v>
      </c>
      <c r="G52" s="20">
        <v>5000</v>
      </c>
      <c r="H52" s="20">
        <v>5000</v>
      </c>
    </row>
    <row r="53" spans="1:8" ht="12.75" customHeight="1" x14ac:dyDescent="0.2">
      <c r="A53" s="197" t="s">
        <v>469</v>
      </c>
      <c r="B53" s="1" t="str">
        <f>VLOOKUP(A53,'[1]SQL DATA'!$B:$J,3,FALSE)</f>
        <v>UT - Water - Chemicals</v>
      </c>
      <c r="C53" s="83">
        <f>VLOOKUP(A53,'[1]SQL DATA'!$B:$K,10,FALSE)</f>
        <v>48670.07</v>
      </c>
      <c r="D53" s="83">
        <f>VLOOKUP(A53,'[1]SQL DATA'!$B:$J,9,FALSE)</f>
        <v>54179.44</v>
      </c>
      <c r="E53" s="85">
        <f>VLOOKUP(A53,'[1]SQL DATA'!$B:$J,7,FALSE)</f>
        <v>60221.41</v>
      </c>
      <c r="F53" s="84">
        <f>VLOOKUP(A53,'[1]SQL DATA'!$B:$J,6,FALSE)</f>
        <v>41358.910000000003</v>
      </c>
      <c r="G53" s="83">
        <v>37500</v>
      </c>
      <c r="H53" s="83">
        <v>62000</v>
      </c>
    </row>
    <row r="54" spans="1:8" ht="12.75" customHeight="1" x14ac:dyDescent="0.2">
      <c r="A54" s="9" t="s">
        <v>85</v>
      </c>
      <c r="B54" s="72"/>
      <c r="C54" s="208">
        <f t="shared" ref="C54:H54" si="6">SUM(C45:C53)</f>
        <v>104203.01000000001</v>
      </c>
      <c r="D54" s="208">
        <f t="shared" si="6"/>
        <v>85738.95</v>
      </c>
      <c r="E54" s="209">
        <f t="shared" si="6"/>
        <v>103598.76000000001</v>
      </c>
      <c r="F54" s="210">
        <f t="shared" si="6"/>
        <v>66557.760000000009</v>
      </c>
      <c r="G54" s="208">
        <f t="shared" si="6"/>
        <v>74960</v>
      </c>
      <c r="H54" s="208">
        <f t="shared" si="6"/>
        <v>99770</v>
      </c>
    </row>
    <row r="55" spans="1:8" ht="12.75" customHeight="1" x14ac:dyDescent="0.2">
      <c r="A55" s="1" t="s">
        <v>8</v>
      </c>
      <c r="D55" s="73"/>
      <c r="E55" s="50"/>
      <c r="F55" s="49"/>
      <c r="G55" s="73"/>
      <c r="H55" s="73"/>
    </row>
    <row r="56" spans="1:8" ht="12.75" customHeight="1" x14ac:dyDescent="0.2">
      <c r="A56" s="45" t="s">
        <v>89</v>
      </c>
      <c r="D56" s="73"/>
      <c r="E56" s="50"/>
      <c r="F56" s="49"/>
      <c r="G56" s="73"/>
      <c r="H56" s="73"/>
    </row>
    <row r="57" spans="1:8" ht="12.75" customHeight="1" x14ac:dyDescent="0.2">
      <c r="A57" s="197" t="s">
        <v>470</v>
      </c>
      <c r="B57" s="1" t="str">
        <f>VLOOKUP(A57,'[1]SQL DATA'!$B:$J,3,FALSE)</f>
        <v>UT - Water - Amortization Expense</v>
      </c>
      <c r="C57" s="83">
        <f>VLOOKUP(A57,'[1]SQL DATA'!$B:$K,10,FALSE)</f>
        <v>5603.36</v>
      </c>
      <c r="D57" s="83">
        <f>VLOOKUP(A57,'[1]SQL DATA'!$B:$J,9,FALSE)</f>
        <v>12289.74</v>
      </c>
      <c r="E57" s="85">
        <f>VLOOKUP(A57,'[1]SQL DATA'!$B:$J,7,FALSE)</f>
        <v>12289.74</v>
      </c>
      <c r="F57" s="84">
        <f>VLOOKUP(A57,'[1]SQL DATA'!$B:$J,6,FALSE)</f>
        <v>0</v>
      </c>
      <c r="G57" s="83">
        <v>0</v>
      </c>
      <c r="H57" s="83">
        <v>0</v>
      </c>
    </row>
    <row r="58" spans="1:8" ht="12.75" customHeight="1" x14ac:dyDescent="0.2">
      <c r="A58" s="9" t="s">
        <v>91</v>
      </c>
      <c r="B58" s="81"/>
      <c r="C58" s="211">
        <f>SUM(C57)</f>
        <v>5603.36</v>
      </c>
      <c r="D58" s="211">
        <f>SUM(D57)</f>
        <v>12289.74</v>
      </c>
      <c r="E58" s="12">
        <f t="shared" ref="E58:H58" si="7">SUM(E57)</f>
        <v>12289.74</v>
      </c>
      <c r="F58" s="10">
        <f t="shared" si="7"/>
        <v>0</v>
      </c>
      <c r="G58" s="211">
        <f t="shared" si="7"/>
        <v>0</v>
      </c>
      <c r="H58" s="211">
        <f t="shared" si="7"/>
        <v>0</v>
      </c>
    </row>
    <row r="59" spans="1:8" ht="12.75" customHeight="1" x14ac:dyDescent="0.2">
      <c r="A59" s="1" t="s">
        <v>8</v>
      </c>
      <c r="D59" s="73"/>
      <c r="E59" s="50"/>
      <c r="F59" s="49"/>
      <c r="G59" s="73"/>
      <c r="H59" s="73"/>
    </row>
    <row r="60" spans="1:8" ht="12.75" customHeight="1" x14ac:dyDescent="0.2">
      <c r="A60" s="45" t="s">
        <v>95</v>
      </c>
      <c r="B60" s="17"/>
      <c r="C60" s="17"/>
      <c r="D60" s="87"/>
      <c r="E60" s="53"/>
      <c r="F60" s="52"/>
      <c r="G60" s="87"/>
      <c r="H60" s="87"/>
    </row>
    <row r="61" spans="1:8" ht="12.75" customHeight="1" x14ac:dyDescent="0.2">
      <c r="A61" s="197"/>
      <c r="B61" s="1" t="s">
        <v>471</v>
      </c>
      <c r="D61" s="20"/>
      <c r="E61" s="16"/>
      <c r="F61" s="15"/>
      <c r="G61" s="20"/>
      <c r="H61" s="20"/>
    </row>
    <row r="62" spans="1:8" ht="12.75" customHeight="1" x14ac:dyDescent="0.2">
      <c r="A62" s="197" t="s">
        <v>472</v>
      </c>
      <c r="B62" s="1" t="str">
        <f>VLOOKUP(A62,'[1]SQL DATA'!$B:$J,3,FALSE)</f>
        <v>UT - Water - Travel, Meals &amp; Subsistence</v>
      </c>
      <c r="C62" s="83">
        <f>VLOOKUP(A62,'[1]SQL DATA'!$B:$K,10,FALSE)</f>
        <v>0</v>
      </c>
      <c r="D62" s="83">
        <f>VLOOKUP(A62,'[1]SQL DATA'!$B:$J,9,FALSE)</f>
        <v>0</v>
      </c>
      <c r="E62" s="85">
        <f>VLOOKUP(A62,'[1]SQL DATA'!$B:$J,7,FALSE)</f>
        <v>0</v>
      </c>
      <c r="F62" s="84">
        <f>VLOOKUP(A62,'[1]SQL DATA'!$B:$J,6,FALSE)</f>
        <v>0</v>
      </c>
      <c r="G62" s="83">
        <v>1000</v>
      </c>
      <c r="H62" s="83">
        <v>1000</v>
      </c>
    </row>
    <row r="63" spans="1:8" ht="12.75" customHeight="1" x14ac:dyDescent="0.2">
      <c r="A63" s="9" t="s">
        <v>98</v>
      </c>
      <c r="B63" s="72"/>
      <c r="C63" s="208">
        <f>SUM(C61:C62)</f>
        <v>0</v>
      </c>
      <c r="D63" s="208">
        <f>SUM(D61:D62)</f>
        <v>0</v>
      </c>
      <c r="E63" s="209">
        <f>SUM(E61:E62)</f>
        <v>0</v>
      </c>
      <c r="F63" s="210">
        <f>SUM(F61:F62)</f>
        <v>0</v>
      </c>
      <c r="G63" s="208">
        <f t="shared" ref="G63:H63" si="8">SUM(G61:G62)</f>
        <v>1000</v>
      </c>
      <c r="H63" s="208">
        <f t="shared" si="8"/>
        <v>1000</v>
      </c>
    </row>
    <row r="64" spans="1:8" ht="12.75" customHeight="1" x14ac:dyDescent="0.2">
      <c r="A64" s="9"/>
      <c r="B64" s="72"/>
      <c r="C64" s="72"/>
      <c r="D64" s="87"/>
      <c r="E64" s="53"/>
      <c r="F64" s="52"/>
      <c r="G64" s="87"/>
      <c r="H64" s="87"/>
    </row>
    <row r="65" spans="1:8" ht="12.75" customHeight="1" x14ac:dyDescent="0.2">
      <c r="A65" s="197" t="s">
        <v>473</v>
      </c>
      <c r="B65" s="1" t="str">
        <f>VLOOKUP(A65,'[1]SQL DATA'!$B:$J,3,FALSE)</f>
        <v>UT - Water - Pur of Cap Assets - Infra</v>
      </c>
      <c r="C65" s="20">
        <f>VLOOKUP(A65,'[1]SQL DATA'!$B:$K,10,FALSE)</f>
        <v>0</v>
      </c>
      <c r="D65" s="73">
        <f>VLOOKUP(A65,'[1]SQL DATA'!$B:$J,9,FALSE)</f>
        <v>0</v>
      </c>
      <c r="E65" s="50">
        <f>VLOOKUP(A65,'[1]SQL DATA'!$B:$J,7,FALSE)</f>
        <v>0</v>
      </c>
      <c r="F65" s="49">
        <f>VLOOKUP(A65,'[1]SQL DATA'!$B:$J,6,FALSE)</f>
        <v>0</v>
      </c>
      <c r="G65" s="20">
        <v>0</v>
      </c>
      <c r="H65" s="20">
        <v>0</v>
      </c>
    </row>
    <row r="66" spans="1:8" ht="12.75" customHeight="1" x14ac:dyDescent="0.2">
      <c r="A66" s="212" t="s">
        <v>474</v>
      </c>
      <c r="B66" s="188" t="str">
        <f>VLOOKUP(A66,'[1]SQL DATA'!$B:$J,3,FALSE)</f>
        <v>Transfer to Reserves - Water &amp; WTP</v>
      </c>
      <c r="C66" s="29">
        <f>VLOOKUP(A66,'[1]SQL DATA'!$B:$K,10,FALSE)</f>
        <v>100000</v>
      </c>
      <c r="D66" s="189">
        <f>VLOOKUP(A66,'[1]SQL DATA'!$B:$J,9,FALSE)</f>
        <v>357544</v>
      </c>
      <c r="E66" s="189">
        <f>VLOOKUP(A66,'[1]SQL DATA'!$B:$J,7,FALSE)</f>
        <v>0</v>
      </c>
      <c r="F66" s="189">
        <f>VLOOKUP(A66,'[1]SQL DATA'!$B:$J,6,FALSE)</f>
        <v>0</v>
      </c>
      <c r="G66" s="29">
        <v>0</v>
      </c>
      <c r="H66" s="29">
        <v>0</v>
      </c>
    </row>
    <row r="67" spans="1:8" ht="12.75" customHeight="1" x14ac:dyDescent="0.2">
      <c r="A67" s="9" t="s">
        <v>475</v>
      </c>
      <c r="B67" s="72"/>
      <c r="C67" s="202">
        <f>SUM(C65:C66)</f>
        <v>100000</v>
      </c>
      <c r="D67" s="202">
        <f>SUM(D65:D66)</f>
        <v>357544</v>
      </c>
      <c r="E67" s="203">
        <f>SUM(E65:E66)</f>
        <v>0</v>
      </c>
      <c r="F67" s="204">
        <f>SUM(F65:F66)</f>
        <v>0</v>
      </c>
      <c r="G67" s="202">
        <f t="shared" ref="G67:H67" si="9">SUM(G65:G66)</f>
        <v>0</v>
      </c>
      <c r="H67" s="202">
        <f t="shared" si="9"/>
        <v>0</v>
      </c>
    </row>
    <row r="68" spans="1:8" ht="12.75" customHeight="1" x14ac:dyDescent="0.2">
      <c r="A68" s="9"/>
      <c r="B68" s="72"/>
      <c r="C68" s="208"/>
      <c r="D68" s="208"/>
      <c r="E68" s="12"/>
      <c r="F68" s="210"/>
      <c r="G68" s="87"/>
      <c r="H68" s="87"/>
    </row>
    <row r="69" spans="1:8" ht="12.75" customHeight="1" x14ac:dyDescent="0.2">
      <c r="A69" s="51" t="s">
        <v>21</v>
      </c>
      <c r="B69" s="72"/>
      <c r="C69" s="202">
        <f t="shared" ref="C69:H69" si="10">C31+C36+C42+C54+C63+C67</f>
        <v>327968.98</v>
      </c>
      <c r="D69" s="202">
        <f t="shared" si="10"/>
        <v>547753.32000000007</v>
      </c>
      <c r="E69" s="203">
        <f t="shared" si="10"/>
        <v>268182.99</v>
      </c>
      <c r="F69" s="204">
        <f t="shared" si="10"/>
        <v>137603.74000000002</v>
      </c>
      <c r="G69" s="202">
        <f t="shared" si="10"/>
        <v>240730</v>
      </c>
      <c r="H69" s="202">
        <f t="shared" si="10"/>
        <v>283719.70160000003</v>
      </c>
    </row>
    <row r="70" spans="1:8" ht="12.75" customHeight="1" x14ac:dyDescent="0.2">
      <c r="A70" s="51" t="s">
        <v>8</v>
      </c>
      <c r="C70" s="20"/>
      <c r="D70" s="20"/>
      <c r="E70" s="16"/>
      <c r="F70" s="15"/>
      <c r="G70" s="73"/>
      <c r="H70" s="73"/>
    </row>
    <row r="71" spans="1:8" ht="12.75" customHeight="1" thickBot="1" x14ac:dyDescent="0.25">
      <c r="A71" s="34" t="s">
        <v>22</v>
      </c>
      <c r="B71" s="72"/>
      <c r="C71" s="213">
        <f>(C21)-C69</f>
        <v>95772.06</v>
      </c>
      <c r="D71" s="213">
        <f>(D21)-D69</f>
        <v>-73102.790000000037</v>
      </c>
      <c r="E71" s="214">
        <f t="shared" ref="E71:H71" si="11">(E21)-E69</f>
        <v>364035.30000000005</v>
      </c>
      <c r="F71" s="213">
        <f t="shared" si="11"/>
        <v>119848.93999999997</v>
      </c>
      <c r="G71" s="213">
        <f t="shared" si="11"/>
        <v>215600</v>
      </c>
      <c r="H71" s="213">
        <f t="shared" si="11"/>
        <v>158030.29839999997</v>
      </c>
    </row>
    <row r="72" spans="1:8" ht="12.75" customHeight="1" thickTop="1" x14ac:dyDescent="0.2">
      <c r="A72" s="1" t="s">
        <v>8</v>
      </c>
    </row>
  </sheetData>
  <pageMargins left="0.74803149606299213" right="0.74803149606299213" top="0.55555555555555558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Water
</oddHeader>
    <oddFooter>&amp;L&amp;P of &amp;N &amp;C&amp;R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F1EB2-67BE-418D-885A-65F0E0F429C9}">
  <sheetPr>
    <pageSetUpPr fitToPage="1"/>
  </sheetPr>
  <dimension ref="A1:H61"/>
  <sheetViews>
    <sheetView topLeftCell="A46" zoomScale="150" zoomScaleNormal="150" zoomScalePageLayoutView="80" workbookViewId="0">
      <selection activeCell="G9" sqref="G9"/>
    </sheetView>
  </sheetViews>
  <sheetFormatPr defaultColWidth="8.85546875" defaultRowHeight="12.75" x14ac:dyDescent="0.2"/>
  <cols>
    <col min="1" max="1" width="12.85546875" style="1" customWidth="1"/>
    <col min="2" max="2" width="20.85546875" style="1" customWidth="1"/>
    <col min="3" max="4" width="9.140625" style="1" bestFit="1" customWidth="1"/>
    <col min="5" max="5" width="8.5703125" style="1" bestFit="1" customWidth="1"/>
    <col min="6" max="6" width="9.140625" style="1" bestFit="1" customWidth="1"/>
    <col min="7" max="7" width="10.85546875" style="1" customWidth="1"/>
    <col min="8" max="8" width="9.140625" style="1" bestFit="1" customWidth="1"/>
    <col min="9" max="16384" width="8.85546875" style="1"/>
  </cols>
  <sheetData>
    <row r="1" spans="1:8" x14ac:dyDescent="0.2">
      <c r="B1" s="71"/>
      <c r="C1" s="2">
        <v>2019</v>
      </c>
      <c r="D1" s="2">
        <v>2020</v>
      </c>
      <c r="E1" s="3">
        <v>2021</v>
      </c>
      <c r="F1" s="2">
        <v>2022</v>
      </c>
      <c r="G1" s="2">
        <v>2021</v>
      </c>
      <c r="H1" s="2">
        <v>2022</v>
      </c>
    </row>
    <row r="2" spans="1:8" x14ac:dyDescent="0.2">
      <c r="B2" s="2"/>
      <c r="C2" s="4" t="s">
        <v>0</v>
      </c>
      <c r="D2" s="5" t="s">
        <v>0</v>
      </c>
      <c r="E2" s="6" t="s">
        <v>0</v>
      </c>
      <c r="F2" s="5" t="s">
        <v>0</v>
      </c>
      <c r="G2" s="5" t="s">
        <v>1</v>
      </c>
      <c r="H2" s="5" t="s">
        <v>1</v>
      </c>
    </row>
    <row r="3" spans="1:8" x14ac:dyDescent="0.2">
      <c r="A3" s="7" t="s">
        <v>239</v>
      </c>
      <c r="B3" s="2"/>
      <c r="C3" s="2"/>
      <c r="D3" s="2"/>
      <c r="E3" s="3"/>
      <c r="F3" s="2"/>
      <c r="G3" s="2"/>
      <c r="H3" s="2"/>
    </row>
    <row r="4" spans="1:8" x14ac:dyDescent="0.2">
      <c r="A4" s="1" t="s">
        <v>104</v>
      </c>
      <c r="D4" s="20"/>
      <c r="E4" s="16"/>
      <c r="F4" s="15"/>
      <c r="G4" s="20"/>
      <c r="H4" s="20"/>
    </row>
    <row r="5" spans="1:8" x14ac:dyDescent="0.2">
      <c r="A5" s="191" t="s">
        <v>476</v>
      </c>
      <c r="B5" s="215" t="str">
        <f>VLOOKUP(A5,'[1]SQL DATA'!$B:$J,3,FALSE)</f>
        <v>Transfer from Reserves - Sewer &amp; WWTP</v>
      </c>
      <c r="C5" s="20">
        <f>VLOOKUP(A5,'[1]SQL DATA'!$B:$K,10,FALSE)</f>
        <v>125329.9</v>
      </c>
      <c r="D5" s="73">
        <f>VLOOKUP(A5,'[1]SQL DATA'!$B:$J,9,FALSE)</f>
        <v>0</v>
      </c>
      <c r="E5" s="50">
        <f>VLOOKUP(A5,'[1]SQL DATA'!$B:$J,7,FALSE)</f>
        <v>173092.97</v>
      </c>
      <c r="F5" s="49">
        <f>VLOOKUP(A5,'[1]SQL DATA'!$B:$J,6,FALSE)</f>
        <v>0</v>
      </c>
      <c r="G5" s="20">
        <v>97000</v>
      </c>
      <c r="H5" s="20">
        <f>174360+40000</f>
        <v>214360</v>
      </c>
    </row>
    <row r="6" spans="1:8" ht="12.75" customHeight="1" x14ac:dyDescent="0.2">
      <c r="A6" s="216" t="s">
        <v>349</v>
      </c>
      <c r="B6" s="217"/>
      <c r="C6" s="92">
        <f>SUM(C5)</f>
        <v>125329.9</v>
      </c>
      <c r="D6" s="92">
        <f>SUM(D5)</f>
        <v>0</v>
      </c>
      <c r="E6" s="91">
        <f>SUM(E5)</f>
        <v>173092.97</v>
      </c>
      <c r="F6" s="90">
        <f>SUM(F5)</f>
        <v>0</v>
      </c>
      <c r="G6" s="92">
        <f t="shared" ref="G6:H6" si="0">SUM(G5)</f>
        <v>97000</v>
      </c>
      <c r="H6" s="92">
        <f t="shared" si="0"/>
        <v>214360</v>
      </c>
    </row>
    <row r="7" spans="1:8" x14ac:dyDescent="0.2">
      <c r="A7" s="215"/>
      <c r="B7" s="215"/>
      <c r="C7" s="215"/>
      <c r="D7" s="20"/>
      <c r="E7" s="16"/>
      <c r="F7" s="15"/>
      <c r="G7" s="20"/>
      <c r="H7" s="20"/>
    </row>
    <row r="8" spans="1:8" x14ac:dyDescent="0.2">
      <c r="A8" s="218" t="s">
        <v>28</v>
      </c>
      <c r="B8" s="215"/>
      <c r="C8" s="215"/>
      <c r="D8" s="20"/>
      <c r="E8" s="16"/>
      <c r="F8" s="15"/>
      <c r="G8" s="20"/>
      <c r="H8" s="20"/>
    </row>
    <row r="9" spans="1:8" ht="16.5" customHeight="1" x14ac:dyDescent="0.2">
      <c r="A9" s="191" t="s">
        <v>477</v>
      </c>
      <c r="B9" s="215" t="str">
        <f>VLOOKUP(A9,'[1]SQL DATA'!$B:$J,3,FALSE)</f>
        <v>Sewer - Charges</v>
      </c>
      <c r="C9" s="20">
        <f>VLOOKUP(A9,'[1]SQL DATA'!$B:$K,10,FALSE)</f>
        <v>218720.01</v>
      </c>
      <c r="D9" s="73">
        <f>VLOOKUP(A9,'[1]SQL DATA'!$B:$J,9,FALSE)</f>
        <v>244441.67</v>
      </c>
      <c r="E9" s="50">
        <f>VLOOKUP(A9,'[1]SQL DATA'!$B:$J,7,FALSE)</f>
        <v>256731.25</v>
      </c>
      <c r="F9" s="49">
        <f>VLOOKUP(A9,'[1]SQL DATA'!$B:$J,6,FALSE)</f>
        <v>149447.57999999999</v>
      </c>
      <c r="G9" s="20">
        <v>249300</v>
      </c>
      <c r="H9" s="20">
        <v>254290</v>
      </c>
    </row>
    <row r="10" spans="1:8" ht="16.5" customHeight="1" x14ac:dyDescent="0.2">
      <c r="A10" s="192" t="s">
        <v>478</v>
      </c>
      <c r="B10" s="215" t="str">
        <f>VLOOKUP(A10,'[1]SQL DATA'!$B:$J,3,FALSE)</f>
        <v>Sewer - Interest Charges</v>
      </c>
      <c r="C10" s="20">
        <f>VLOOKUP(A10,'[1]SQL DATA'!$B:$K,10,FALSE)</f>
        <v>3135.16</v>
      </c>
      <c r="D10" s="73">
        <f>VLOOKUP(A10,'[1]SQL DATA'!$B:$J,9,FALSE)</f>
        <v>1640.38</v>
      </c>
      <c r="E10" s="50">
        <f>VLOOKUP(A10,'[1]SQL DATA'!$B:$J,7,FALSE)</f>
        <v>2100.5100000000002</v>
      </c>
      <c r="F10" s="49">
        <f>VLOOKUP(A10,'[1]SQL DATA'!$B:$J,6,FALSE)</f>
        <v>1061.8599999999999</v>
      </c>
      <c r="G10" s="20">
        <v>3830</v>
      </c>
      <c r="H10" s="20">
        <v>3830</v>
      </c>
    </row>
    <row r="11" spans="1:8" x14ac:dyDescent="0.2">
      <c r="A11" s="191" t="s">
        <v>479</v>
      </c>
      <c r="B11" s="215" t="str">
        <f>VLOOKUP(A11,'[1]SQL DATA'!$B:$J,3,FALSE)</f>
        <v>Sewer - Infrastructure Renewal Charges</v>
      </c>
      <c r="C11" s="20">
        <f>VLOOKUP(A11,'[1]SQL DATA'!$B:$K,10,FALSE)</f>
        <v>87358.6</v>
      </c>
      <c r="D11" s="73">
        <f>VLOOKUP(A11,'[1]SQL DATA'!$B:$J,9,FALSE)</f>
        <v>95370.96</v>
      </c>
      <c r="E11" s="50">
        <f>VLOOKUP(A11,'[1]SQL DATA'!$B:$J,7,FALSE)</f>
        <v>98408.74</v>
      </c>
      <c r="F11" s="49">
        <f>VLOOKUP(A11,'[1]SQL DATA'!$B:$J,6,FALSE)</f>
        <v>58786.41</v>
      </c>
      <c r="G11" s="20">
        <v>96300</v>
      </c>
      <c r="H11" s="20">
        <v>98230</v>
      </c>
    </row>
    <row r="12" spans="1:8" x14ac:dyDescent="0.2">
      <c r="A12" s="216" t="s">
        <v>42</v>
      </c>
      <c r="B12" s="217"/>
      <c r="C12" s="66">
        <f t="shared" ref="C12:H12" si="1">SUM(C9:C11)</f>
        <v>309213.77</v>
      </c>
      <c r="D12" s="66">
        <f t="shared" si="1"/>
        <v>341453.01</v>
      </c>
      <c r="E12" s="68">
        <f t="shared" si="1"/>
        <v>357240.5</v>
      </c>
      <c r="F12" s="67">
        <f t="shared" si="1"/>
        <v>209295.84999999998</v>
      </c>
      <c r="G12" s="66">
        <f t="shared" si="1"/>
        <v>349430</v>
      </c>
      <c r="H12" s="66">
        <f t="shared" si="1"/>
        <v>356350</v>
      </c>
    </row>
    <row r="13" spans="1:8" x14ac:dyDescent="0.2">
      <c r="A13" s="216"/>
      <c r="B13" s="217"/>
      <c r="C13" s="177"/>
      <c r="D13" s="177"/>
      <c r="E13" s="178"/>
      <c r="F13" s="179"/>
      <c r="G13" s="177"/>
      <c r="H13" s="177"/>
    </row>
    <row r="14" spans="1:8" x14ac:dyDescent="0.2">
      <c r="A14" s="219" t="s">
        <v>7</v>
      </c>
      <c r="B14" s="217"/>
      <c r="C14" s="30">
        <f t="shared" ref="C14:H14" si="2">C6+C12</f>
        <v>434543.67000000004</v>
      </c>
      <c r="D14" s="30">
        <f t="shared" si="2"/>
        <v>341453.01</v>
      </c>
      <c r="E14" s="19">
        <f t="shared" si="2"/>
        <v>530333.47</v>
      </c>
      <c r="F14" s="18">
        <f t="shared" si="2"/>
        <v>209295.84999999998</v>
      </c>
      <c r="G14" s="30">
        <f t="shared" si="2"/>
        <v>446430</v>
      </c>
      <c r="H14" s="30">
        <f t="shared" si="2"/>
        <v>570710</v>
      </c>
    </row>
    <row r="15" spans="1:8" x14ac:dyDescent="0.2">
      <c r="A15" s="219"/>
      <c r="B15" s="217"/>
      <c r="C15" s="217"/>
      <c r="D15" s="87"/>
      <c r="E15" s="53"/>
      <c r="F15" s="52"/>
      <c r="G15" s="87"/>
      <c r="H15" s="87"/>
    </row>
    <row r="16" spans="1:8" x14ac:dyDescent="0.2">
      <c r="A16" s="220" t="s">
        <v>9</v>
      </c>
      <c r="B16" s="215"/>
      <c r="C16" s="215"/>
      <c r="D16" s="73"/>
      <c r="E16" s="50"/>
      <c r="F16" s="49"/>
      <c r="G16" s="73"/>
      <c r="H16" s="73"/>
    </row>
    <row r="17" spans="1:8" x14ac:dyDescent="0.2">
      <c r="A17" s="221" t="s">
        <v>51</v>
      </c>
      <c r="B17" s="215"/>
      <c r="C17" s="215"/>
      <c r="D17" s="73"/>
      <c r="E17" s="50"/>
      <c r="F17" s="49"/>
      <c r="G17" s="73"/>
      <c r="H17" s="73"/>
    </row>
    <row r="18" spans="1:8" ht="15" customHeight="1" x14ac:dyDescent="0.2">
      <c r="A18" s="191" t="s">
        <v>480</v>
      </c>
      <c r="B18" s="215" t="str">
        <f>VLOOKUP(A18,'[1]SQL DATA'!$B:$J,3,FALSE)</f>
        <v>UT - Sewer - Salaries</v>
      </c>
      <c r="C18" s="20">
        <f>VLOOKUP(A18,'[1]SQL DATA'!$B:$K,10,FALSE)</f>
        <v>0</v>
      </c>
      <c r="D18" s="73">
        <f>VLOOKUP(A18,'[1]SQL DATA'!$B:$J,9,FALSE)</f>
        <v>0</v>
      </c>
      <c r="E18" s="50">
        <f>VLOOKUP(A18,'[1]SQL DATA'!$B:$J,7,FALSE)</f>
        <v>64819.24</v>
      </c>
      <c r="F18" s="49">
        <f>VLOOKUP(A18,'[1]SQL DATA'!$B:$J,6,FALSE)</f>
        <v>36410.79</v>
      </c>
      <c r="G18" s="20">
        <v>60000</v>
      </c>
      <c r="H18" s="20">
        <v>70300</v>
      </c>
    </row>
    <row r="19" spans="1:8" ht="15" customHeight="1" x14ac:dyDescent="0.2">
      <c r="A19" s="191" t="s">
        <v>481</v>
      </c>
      <c r="B19" s="215" t="str">
        <f>VLOOKUP(A19,'[1]SQL DATA'!$B:$J,3,FALSE)</f>
        <v>UT - Sewer - Benefits - CPP</v>
      </c>
      <c r="C19" s="20">
        <f>VLOOKUP(A19,'[1]SQL DATA'!$B:$K,10,FALSE)</f>
        <v>1733.34</v>
      </c>
      <c r="D19" s="73">
        <f>VLOOKUP(A19,'[1]SQL DATA'!$B:$J,9,FALSE)</f>
        <v>2387.5700000000002</v>
      </c>
      <c r="E19" s="50">
        <f>VLOOKUP(A19,'[1]SQL DATA'!$B:$J,7,FALSE)</f>
        <v>2964.91</v>
      </c>
      <c r="F19" s="49">
        <f>VLOOKUP(A19,'[1]SQL DATA'!$B:$J,6,FALSE)</f>
        <v>0</v>
      </c>
      <c r="G19" s="20">
        <v>2400</v>
      </c>
      <c r="H19" s="20">
        <f>H18*0.0495</f>
        <v>3479.8500000000004</v>
      </c>
    </row>
    <row r="20" spans="1:8" ht="15" customHeight="1" x14ac:dyDescent="0.2">
      <c r="A20" s="191" t="s">
        <v>482</v>
      </c>
      <c r="B20" s="215" t="str">
        <f>VLOOKUP(A20,'[1]SQL DATA'!$B:$J,3,FALSE)</f>
        <v>UT - Sewer - Benefits - EI</v>
      </c>
      <c r="C20" s="20">
        <f>VLOOKUP(A20,'[1]SQL DATA'!$B:$K,10,FALSE)</f>
        <v>2338.3200000000002</v>
      </c>
      <c r="D20" s="73">
        <f>VLOOKUP(A20,'[1]SQL DATA'!$B:$J,9,FALSE)</f>
        <v>907.95</v>
      </c>
      <c r="E20" s="50">
        <f>VLOOKUP(A20,'[1]SQL DATA'!$B:$J,7,FALSE)</f>
        <v>1097.9100000000001</v>
      </c>
      <c r="F20" s="49">
        <f>VLOOKUP(A20,'[1]SQL DATA'!$B:$J,6,FALSE)</f>
        <v>0</v>
      </c>
      <c r="G20" s="20">
        <v>1050</v>
      </c>
      <c r="H20" s="20">
        <f>H18*0.02442+3</f>
        <v>1719.7260000000001</v>
      </c>
    </row>
    <row r="21" spans="1:8" x14ac:dyDescent="0.2">
      <c r="A21" s="191" t="s">
        <v>483</v>
      </c>
      <c r="B21" s="215" t="str">
        <f>VLOOKUP(A21,'[1]SQL DATA'!$B:$J,3,FALSE)</f>
        <v>UT - Sewer - Benefits - MEPP</v>
      </c>
      <c r="C21" s="20">
        <f>VLOOKUP(A21,'[1]SQL DATA'!$B:$K,10,FALSE)</f>
        <v>5064.2700000000004</v>
      </c>
      <c r="D21" s="73">
        <f>VLOOKUP(A21,'[1]SQL DATA'!$B:$J,9,FALSE)</f>
        <v>4600.95</v>
      </c>
      <c r="E21" s="50">
        <f>VLOOKUP(A21,'[1]SQL DATA'!$B:$J,7,FALSE)</f>
        <v>5254.9</v>
      </c>
      <c r="F21" s="49">
        <f>VLOOKUP(A21,'[1]SQL DATA'!$B:$J,6,FALSE)</f>
        <v>2802.85</v>
      </c>
      <c r="G21" s="20">
        <v>4760</v>
      </c>
      <c r="H21" s="20">
        <f>H18*0.09+3</f>
        <v>6330</v>
      </c>
    </row>
    <row r="22" spans="1:8" x14ac:dyDescent="0.2">
      <c r="A22" s="191" t="s">
        <v>484</v>
      </c>
      <c r="B22" s="215" t="str">
        <f>VLOOKUP(A22,'[1]SQL DATA'!$B:$J,3,FALSE)</f>
        <v>UT - Sewer - Benefits - WCB</v>
      </c>
      <c r="C22" s="20">
        <f>VLOOKUP(A22,'[1]SQL DATA'!$B:$K,10,FALSE)</f>
        <v>2670.73</v>
      </c>
      <c r="D22" s="73">
        <f>VLOOKUP(A22,'[1]SQL DATA'!$B:$J,9,FALSE)</f>
        <v>3146</v>
      </c>
      <c r="E22" s="50">
        <f>VLOOKUP(A22,'[1]SQL DATA'!$B:$J,7,FALSE)</f>
        <v>1640.71</v>
      </c>
      <c r="F22" s="49">
        <f>VLOOKUP(A22,'[1]SQL DATA'!$B:$J,6,FALSE)</f>
        <v>1666.07</v>
      </c>
      <c r="G22" s="20">
        <v>3150</v>
      </c>
      <c r="H22" s="20">
        <v>2000</v>
      </c>
    </row>
    <row r="23" spans="1:8" x14ac:dyDescent="0.2">
      <c r="A23" s="191" t="s">
        <v>485</v>
      </c>
      <c r="B23" s="215" t="str">
        <f>VLOOKUP(A23,'[1]SQL DATA'!$B:$J,3,FALSE)</f>
        <v>UT - Sewer - Benefits - Group Benefits</v>
      </c>
      <c r="C23" s="83">
        <f>VLOOKUP(A23,'[1]SQL DATA'!$B:$K,10,FALSE)</f>
        <v>836.3</v>
      </c>
      <c r="D23" s="83">
        <f>VLOOKUP(A23,'[1]SQL DATA'!$B:$J,9,FALSE)</f>
        <v>717.43</v>
      </c>
      <c r="E23" s="85">
        <f>VLOOKUP(A23,'[1]SQL DATA'!$B:$J,7,FALSE)</f>
        <v>2789.47</v>
      </c>
      <c r="F23" s="84">
        <f>VLOOKUP(A23,'[1]SQL DATA'!$B:$J,6,FALSE)</f>
        <v>855.59</v>
      </c>
      <c r="G23" s="83">
        <v>1000</v>
      </c>
      <c r="H23" s="83">
        <f>H18*0.06+2</f>
        <v>4220</v>
      </c>
    </row>
    <row r="24" spans="1:8" x14ac:dyDescent="0.2">
      <c r="A24" s="222" t="s">
        <v>58</v>
      </c>
      <c r="B24" s="217"/>
      <c r="C24" s="177">
        <f t="shared" ref="C24:H24" si="3">SUM(C18:C23)</f>
        <v>12642.96</v>
      </c>
      <c r="D24" s="177">
        <f t="shared" si="3"/>
        <v>11759.900000000001</v>
      </c>
      <c r="E24" s="178">
        <f t="shared" si="3"/>
        <v>78567.14</v>
      </c>
      <c r="F24" s="179">
        <f t="shared" si="3"/>
        <v>41735.299999999996</v>
      </c>
      <c r="G24" s="177">
        <f t="shared" si="3"/>
        <v>72360</v>
      </c>
      <c r="H24" s="177">
        <f t="shared" si="3"/>
        <v>88049.576000000001</v>
      </c>
    </row>
    <row r="25" spans="1:8" x14ac:dyDescent="0.2">
      <c r="A25" s="215" t="s">
        <v>8</v>
      </c>
      <c r="B25" s="215"/>
      <c r="C25" s="215"/>
      <c r="D25" s="73"/>
      <c r="E25" s="50"/>
      <c r="F25" s="49"/>
      <c r="G25" s="73"/>
      <c r="H25" s="73"/>
    </row>
    <row r="26" spans="1:8" x14ac:dyDescent="0.2">
      <c r="A26" s="221" t="s">
        <v>59</v>
      </c>
      <c r="B26" s="215"/>
      <c r="C26" s="215"/>
      <c r="D26" s="73"/>
      <c r="E26" s="50"/>
      <c r="F26" s="49"/>
      <c r="G26" s="73"/>
      <c r="H26" s="73"/>
    </row>
    <row r="27" spans="1:8" x14ac:dyDescent="0.2">
      <c r="A27" s="191" t="s">
        <v>486</v>
      </c>
      <c r="B27" s="215" t="str">
        <f>VLOOKUP(A27,'[1]SQL DATA'!$B:$J,3,FALSE)</f>
        <v>UT - Sewer - Contracted Maint.</v>
      </c>
      <c r="C27" s="83">
        <f>VLOOKUP(A27,'[1]SQL DATA'!$B:$K,10,FALSE)</f>
        <v>95845.6</v>
      </c>
      <c r="D27" s="83">
        <f>VLOOKUP(A27,'[1]SQL DATA'!$B:$J,9,FALSE)</f>
        <v>61547.14</v>
      </c>
      <c r="E27" s="85">
        <f>VLOOKUP(A27,'[1]SQL DATA'!$B:$J,7,FALSE)</f>
        <v>29247.72</v>
      </c>
      <c r="F27" s="84">
        <f>VLOOKUP(A27,'[1]SQL DATA'!$B:$J,6,FALSE)</f>
        <v>23561.95</v>
      </c>
      <c r="G27" s="83">
        <v>50000</v>
      </c>
      <c r="H27" s="83">
        <f>40000+50000</f>
        <v>90000</v>
      </c>
    </row>
    <row r="28" spans="1:8" x14ac:dyDescent="0.2">
      <c r="A28" s="222" t="s">
        <v>66</v>
      </c>
      <c r="B28" s="217"/>
      <c r="C28" s="179">
        <f>SUM(C27)</f>
        <v>95845.6</v>
      </c>
      <c r="D28" s="179">
        <f>SUM(D27)</f>
        <v>61547.14</v>
      </c>
      <c r="E28" s="178">
        <f>SUM(E27)</f>
        <v>29247.72</v>
      </c>
      <c r="F28" s="179">
        <f>SUM(F27)</f>
        <v>23561.95</v>
      </c>
      <c r="G28" s="179">
        <f t="shared" ref="G28:H28" si="4">SUM(G27)</f>
        <v>50000</v>
      </c>
      <c r="H28" s="179">
        <f t="shared" si="4"/>
        <v>90000</v>
      </c>
    </row>
    <row r="29" spans="1:8" x14ac:dyDescent="0.2">
      <c r="A29" s="215" t="s">
        <v>8</v>
      </c>
      <c r="B29" s="215"/>
      <c r="C29" s="215"/>
      <c r="D29" s="73"/>
      <c r="E29" s="50"/>
      <c r="F29" s="49"/>
      <c r="G29" s="73"/>
      <c r="H29" s="73"/>
    </row>
    <row r="30" spans="1:8" x14ac:dyDescent="0.2">
      <c r="A30" s="221" t="s">
        <v>67</v>
      </c>
      <c r="B30" s="215"/>
      <c r="C30" s="215"/>
      <c r="D30" s="73"/>
      <c r="E30" s="50"/>
      <c r="F30" s="49"/>
      <c r="G30" s="73"/>
      <c r="H30" s="73"/>
    </row>
    <row r="31" spans="1:8" x14ac:dyDescent="0.2">
      <c r="A31" s="191" t="s">
        <v>487</v>
      </c>
      <c r="B31" s="215" t="str">
        <f>VLOOKUP(A31,'[1]SQL DATA'!$B:$J,3,FALSE)</f>
        <v>UT - Sewer - Heat</v>
      </c>
      <c r="C31" s="20">
        <f>VLOOKUP(A31,'[1]SQL DATA'!$B:$K,10,FALSE)</f>
        <v>4615.8999999999996</v>
      </c>
      <c r="D31" s="73">
        <f>VLOOKUP(A31,'[1]SQL DATA'!$B:$J,9,FALSE)</f>
        <v>5615.82</v>
      </c>
      <c r="E31" s="50">
        <f>VLOOKUP(A31,'[1]SQL DATA'!$B:$J,7,FALSE)</f>
        <v>4904</v>
      </c>
      <c r="F31" s="49">
        <f>VLOOKUP(A31,'[1]SQL DATA'!$B:$J,6,FALSE)</f>
        <v>3495.59</v>
      </c>
      <c r="G31" s="73">
        <v>4800</v>
      </c>
      <c r="H31" s="73">
        <v>4820</v>
      </c>
    </row>
    <row r="32" spans="1:8" x14ac:dyDescent="0.2">
      <c r="A32" s="191" t="s">
        <v>488</v>
      </c>
      <c r="B32" s="215" t="str">
        <f>VLOOKUP(A32,'[1]SQL DATA'!$B:$J,3,FALSE)</f>
        <v>UT - Sewer - Power</v>
      </c>
      <c r="C32" s="73">
        <f>VLOOKUP(A32,'[1]SQL DATA'!$B:$K,10,FALSE)</f>
        <v>55631.93</v>
      </c>
      <c r="D32" s="73">
        <f>VLOOKUP(A32,'[1]SQL DATA'!$B:$J,9,FALSE)</f>
        <v>63369.86</v>
      </c>
      <c r="E32" s="50">
        <f>VLOOKUP(A32,'[1]SQL DATA'!$B:$J,7,FALSE)</f>
        <v>55654.39</v>
      </c>
      <c r="F32" s="49">
        <f>VLOOKUP(A32,'[1]SQL DATA'!$B:$J,6,FALSE)</f>
        <v>36991.360000000001</v>
      </c>
      <c r="G32" s="73">
        <v>57000</v>
      </c>
      <c r="H32" s="73">
        <v>58200</v>
      </c>
    </row>
    <row r="33" spans="1:8" x14ac:dyDescent="0.2">
      <c r="A33" s="191" t="s">
        <v>489</v>
      </c>
      <c r="B33" s="215" t="str">
        <f>VLOOKUP(A33,'[1]SQL DATA'!$B:$J,3,FALSE)</f>
        <v>UT - Sewer - Telephone</v>
      </c>
      <c r="C33" s="83">
        <f>VLOOKUP(A33,'[1]SQL DATA'!$B:$K,10,FALSE)</f>
        <v>0</v>
      </c>
      <c r="D33" s="83">
        <f>VLOOKUP(A33,'[1]SQL DATA'!$B:$J,9,FALSE)</f>
        <v>0</v>
      </c>
      <c r="E33" s="85">
        <f>VLOOKUP(A33,'[1]SQL DATA'!$B:$J,7,FALSE)</f>
        <v>483.71</v>
      </c>
      <c r="F33" s="84">
        <f>VLOOKUP(A33,'[1]SQL DATA'!$B:$J,6,FALSE)</f>
        <v>303.45</v>
      </c>
      <c r="G33" s="83"/>
      <c r="H33" s="83">
        <v>800</v>
      </c>
    </row>
    <row r="34" spans="1:8" x14ac:dyDescent="0.2">
      <c r="A34" s="222" t="s">
        <v>72</v>
      </c>
      <c r="B34" s="223"/>
      <c r="C34" s="211">
        <f>SUM(C31:C33)</f>
        <v>60247.83</v>
      </c>
      <c r="D34" s="211">
        <f t="shared" ref="D34:H34" si="5">SUM(D31:D33)</f>
        <v>68985.679999999993</v>
      </c>
      <c r="E34" s="12">
        <f t="shared" si="5"/>
        <v>61042.1</v>
      </c>
      <c r="F34" s="211">
        <f t="shared" si="5"/>
        <v>40790.399999999994</v>
      </c>
      <c r="G34" s="211">
        <f t="shared" si="5"/>
        <v>61800</v>
      </c>
      <c r="H34" s="211">
        <f t="shared" si="5"/>
        <v>63820</v>
      </c>
    </row>
    <row r="35" spans="1:8" x14ac:dyDescent="0.2">
      <c r="A35" s="215" t="s">
        <v>8</v>
      </c>
      <c r="B35" s="215"/>
      <c r="C35" s="215"/>
      <c r="D35" s="73"/>
      <c r="E35" s="50"/>
      <c r="F35" s="49"/>
      <c r="G35" s="73"/>
      <c r="H35" s="73"/>
    </row>
    <row r="36" spans="1:8" x14ac:dyDescent="0.2">
      <c r="A36" s="221" t="s">
        <v>111</v>
      </c>
      <c r="B36" s="215"/>
      <c r="C36" s="215"/>
      <c r="D36" s="73"/>
      <c r="E36" s="50"/>
      <c r="F36" s="49"/>
      <c r="G36" s="73"/>
      <c r="H36" s="73"/>
    </row>
    <row r="37" spans="1:8" x14ac:dyDescent="0.2">
      <c r="A37" s="191" t="s">
        <v>490</v>
      </c>
      <c r="B37" s="215" t="str">
        <f>VLOOKUP(A37,'[1]SQL DATA'!$B:$J,3,FALSE)</f>
        <v>UT - Sewer - Conference Fees/Training</v>
      </c>
      <c r="C37" s="20">
        <f>VLOOKUP(A37,'[1]SQL DATA'!$B:$K,10,FALSE)</f>
        <v>0</v>
      </c>
      <c r="D37" s="73">
        <f>VLOOKUP(A37,'[1]SQL DATA'!$B:$J,9,FALSE)</f>
        <v>0</v>
      </c>
      <c r="E37" s="50">
        <f>VLOOKUP(A37,'[1]SQL DATA'!$B:$J,7,FALSE)</f>
        <v>1192.8499999999999</v>
      </c>
      <c r="F37" s="49">
        <f>VLOOKUP(A37,'[1]SQL DATA'!$B:$J,6,FALSE)</f>
        <v>0</v>
      </c>
      <c r="G37" s="20">
        <v>1500</v>
      </c>
      <c r="H37" s="20">
        <v>1500</v>
      </c>
    </row>
    <row r="38" spans="1:8" x14ac:dyDescent="0.2">
      <c r="A38" s="191" t="s">
        <v>491</v>
      </c>
      <c r="B38" s="215" t="str">
        <f>VLOOKUP(A38,'[1]SQL DATA'!$B:$J,3,FALSE)</f>
        <v>UT - Sewer - Insurance - General &amp; Bond</v>
      </c>
      <c r="C38" s="20">
        <f>VLOOKUP(A38,'[1]SQL DATA'!$B:$K,10,FALSE)</f>
        <v>9864.36</v>
      </c>
      <c r="D38" s="73">
        <f>VLOOKUP(A38,'[1]SQL DATA'!$B:$J,9,FALSE)</f>
        <v>10236.459999999999</v>
      </c>
      <c r="E38" s="50">
        <f>VLOOKUP(A38,'[1]SQL DATA'!$B:$J,7,FALSE)</f>
        <v>10890.99</v>
      </c>
      <c r="F38" s="49">
        <f>VLOOKUP(A38,'[1]SQL DATA'!$B:$J,6,FALSE)</f>
        <v>10828.53</v>
      </c>
      <c r="G38" s="73">
        <v>10890</v>
      </c>
      <c r="H38" s="73">
        <v>10830</v>
      </c>
    </row>
    <row r="39" spans="1:8" x14ac:dyDescent="0.2">
      <c r="A39" s="191" t="s">
        <v>492</v>
      </c>
      <c r="B39" s="215" t="str">
        <f>VLOOKUP(A39,'[1]SQL DATA'!$B:$J,3,FALSE)</f>
        <v>UT - Sewer - Laboratory Testing</v>
      </c>
      <c r="C39" s="20">
        <f>VLOOKUP(A39,'[1]SQL DATA'!$B:$K,10,FALSE)</f>
        <v>3769.9</v>
      </c>
      <c r="D39" s="73">
        <f>VLOOKUP(A39,'[1]SQL DATA'!$B:$J,9,FALSE)</f>
        <v>2085.44</v>
      </c>
      <c r="E39" s="50">
        <f>VLOOKUP(A39,'[1]SQL DATA'!$B:$J,7,FALSE)</f>
        <v>1842.82</v>
      </c>
      <c r="F39" s="49">
        <f>VLOOKUP(A39,'[1]SQL DATA'!$B:$J,6,FALSE)</f>
        <v>2159.0700000000002</v>
      </c>
      <c r="G39" s="20">
        <v>4000</v>
      </c>
      <c r="H39" s="20">
        <v>4000</v>
      </c>
    </row>
    <row r="40" spans="1:8" x14ac:dyDescent="0.2">
      <c r="A40" s="191" t="s">
        <v>493</v>
      </c>
      <c r="B40" s="215" t="str">
        <f>VLOOKUP(A40,'[1]SQL DATA'!$B:$J,3,FALSE)</f>
        <v>UT - Sewer - Building Maint. Mat&amp;Supply</v>
      </c>
      <c r="C40" s="20">
        <f>VLOOKUP(A40,'[1]SQL DATA'!$B:$K,10,FALSE)</f>
        <v>11880.58</v>
      </c>
      <c r="D40" s="73">
        <f>VLOOKUP(A40,'[1]SQL DATA'!$B:$J,9,FALSE)</f>
        <v>706.61</v>
      </c>
      <c r="E40" s="50">
        <f>VLOOKUP(A40,'[1]SQL DATA'!$B:$J,7,FALSE)</f>
        <v>1453.35</v>
      </c>
      <c r="F40" s="49">
        <f>VLOOKUP(A40,'[1]SQL DATA'!$B:$J,6,FALSE)</f>
        <v>11653.51</v>
      </c>
      <c r="G40" s="20">
        <v>7000</v>
      </c>
      <c r="H40" s="20">
        <v>7000</v>
      </c>
    </row>
    <row r="41" spans="1:8" x14ac:dyDescent="0.2">
      <c r="A41" s="191" t="s">
        <v>494</v>
      </c>
      <c r="B41" s="215" t="str">
        <f>VLOOKUP(A41,'[1]SQL DATA'!$B:$J,3,FALSE)</f>
        <v>UT - Sewer - Shop Supplies</v>
      </c>
      <c r="C41" s="20">
        <f>VLOOKUP(A41,'[1]SQL DATA'!$B:$K,10,FALSE)</f>
        <v>3610.33</v>
      </c>
      <c r="D41" s="73">
        <f>VLOOKUP(A41,'[1]SQL DATA'!$B:$J,9,FALSE)</f>
        <v>2303.0100000000002</v>
      </c>
      <c r="E41" s="50">
        <f>VLOOKUP(A41,'[1]SQL DATA'!$B:$J,7,FALSE)</f>
        <v>749.25</v>
      </c>
      <c r="F41" s="49">
        <f>VLOOKUP(A41,'[1]SQL DATA'!$B:$J,6,FALSE)</f>
        <v>731.04</v>
      </c>
      <c r="G41" s="20">
        <v>8000</v>
      </c>
      <c r="H41" s="20">
        <v>8000</v>
      </c>
    </row>
    <row r="42" spans="1:8" x14ac:dyDescent="0.2">
      <c r="A42" s="191" t="s">
        <v>495</v>
      </c>
      <c r="B42" s="215" t="str">
        <f>VLOOKUP(A42,'[1]SQL DATA'!$B:$J,3,FALSE)</f>
        <v>UT - Sewer - Chemicals</v>
      </c>
      <c r="C42" s="83">
        <f>VLOOKUP(A42,'[1]SQL DATA'!$B:$K,10,FALSE)</f>
        <v>18753.78</v>
      </c>
      <c r="D42" s="83">
        <f>VLOOKUP(A42,'[1]SQL DATA'!$B:$J,9,FALSE)</f>
        <v>18642.509999999998</v>
      </c>
      <c r="E42" s="85">
        <f>VLOOKUP(A42,'[1]SQL DATA'!$B:$J,7,FALSE)</f>
        <v>18907.099999999999</v>
      </c>
      <c r="F42" s="84">
        <f>VLOOKUP(A42,'[1]SQL DATA'!$B:$J,6,FALSE)</f>
        <v>18380.990000000002</v>
      </c>
      <c r="G42" s="83">
        <v>20000</v>
      </c>
      <c r="H42" s="83">
        <v>20000</v>
      </c>
    </row>
    <row r="43" spans="1:8" x14ac:dyDescent="0.2">
      <c r="A43" s="222" t="s">
        <v>85</v>
      </c>
      <c r="B43" s="217"/>
      <c r="C43" s="177">
        <f>SUM(C37:C42)</f>
        <v>47878.95</v>
      </c>
      <c r="D43" s="177">
        <f>SUM(D37:D42)</f>
        <v>33974.03</v>
      </c>
      <c r="E43" s="178">
        <f>SUM(E37:E42)</f>
        <v>35036.36</v>
      </c>
      <c r="F43" s="179">
        <f>SUM(F37:F42)</f>
        <v>43753.14</v>
      </c>
      <c r="G43" s="177">
        <f t="shared" ref="G43:H43" si="6">SUM(G37:G42)</f>
        <v>51390</v>
      </c>
      <c r="H43" s="177">
        <f t="shared" si="6"/>
        <v>51330</v>
      </c>
    </row>
    <row r="44" spans="1:8" x14ac:dyDescent="0.2">
      <c r="A44" s="215" t="s">
        <v>8</v>
      </c>
      <c r="B44" s="215"/>
      <c r="C44" s="215"/>
      <c r="D44" s="73"/>
      <c r="E44" s="50"/>
      <c r="F44" s="49"/>
      <c r="G44" s="73"/>
      <c r="H44" s="73"/>
    </row>
    <row r="45" spans="1:8" x14ac:dyDescent="0.2">
      <c r="A45" s="221" t="s">
        <v>89</v>
      </c>
      <c r="B45" s="215"/>
      <c r="C45" s="215"/>
      <c r="D45" s="73"/>
      <c r="E45" s="50"/>
      <c r="F45" s="49"/>
      <c r="G45" s="73"/>
      <c r="H45" s="73"/>
    </row>
    <row r="46" spans="1:8" x14ac:dyDescent="0.2">
      <c r="A46" s="191" t="s">
        <v>496</v>
      </c>
      <c r="B46" s="215" t="str">
        <f>VLOOKUP(A46,'[1]SQL DATA'!$B:$J,3,FALSE)</f>
        <v>UT - Sewer - Amortortization</v>
      </c>
      <c r="C46" s="83">
        <f>VLOOKUP(A46,'[1]SQL DATA'!$B:$K,10,FALSE)</f>
        <v>297390</v>
      </c>
      <c r="D46" s="83">
        <f>VLOOKUP(A46,'[1]SQL DATA'!$B:$J,9,FALSE)</f>
        <v>301970.59000000003</v>
      </c>
      <c r="E46" s="85">
        <f>VLOOKUP(A46,'[1]SQL DATA'!$B:$J,7,FALSE)</f>
        <v>304481.61</v>
      </c>
      <c r="F46" s="84">
        <f>VLOOKUP(A46,'[1]SQL DATA'!$B:$J,6,FALSE)</f>
        <v>0</v>
      </c>
      <c r="G46" s="83">
        <v>0</v>
      </c>
      <c r="H46" s="83">
        <v>0</v>
      </c>
    </row>
    <row r="47" spans="1:8" x14ac:dyDescent="0.2">
      <c r="A47" s="222" t="s">
        <v>91</v>
      </c>
      <c r="B47" s="223"/>
      <c r="C47" s="20">
        <f>SUM(C46)</f>
        <v>297390</v>
      </c>
      <c r="D47" s="20">
        <f>SUM(D46)</f>
        <v>301970.59000000003</v>
      </c>
      <c r="E47" s="16">
        <f t="shared" ref="E47:H47" si="7">SUM(E46)</f>
        <v>304481.61</v>
      </c>
      <c r="F47" s="15">
        <f t="shared" si="7"/>
        <v>0</v>
      </c>
      <c r="G47" s="20">
        <f t="shared" si="7"/>
        <v>0</v>
      </c>
      <c r="H47" s="20">
        <f t="shared" si="7"/>
        <v>0</v>
      </c>
    </row>
    <row r="48" spans="1:8" x14ac:dyDescent="0.2">
      <c r="A48" s="215" t="s">
        <v>8</v>
      </c>
      <c r="B48" s="215"/>
      <c r="C48" s="215"/>
      <c r="D48" s="73"/>
      <c r="E48" s="50"/>
      <c r="F48" s="49"/>
      <c r="G48" s="73"/>
      <c r="H48" s="73"/>
    </row>
    <row r="49" spans="1:8" x14ac:dyDescent="0.2">
      <c r="A49" s="221" t="s">
        <v>497</v>
      </c>
      <c r="B49" s="215"/>
      <c r="C49" s="215"/>
      <c r="D49" s="73"/>
      <c r="E49" s="50"/>
      <c r="F49" s="49"/>
      <c r="G49" s="73"/>
      <c r="H49" s="73"/>
    </row>
    <row r="50" spans="1:8" x14ac:dyDescent="0.2">
      <c r="A50" s="191" t="s">
        <v>498</v>
      </c>
      <c r="B50" s="215" t="str">
        <f>VLOOKUP(A50,'[1]SQL DATA'!$B:$J,3,FALSE)</f>
        <v>UT - Sewer - Interest</v>
      </c>
      <c r="C50" s="83">
        <f>VLOOKUP(A50,'[1]SQL DATA'!$B:$K,10,FALSE)</f>
        <v>67322.92</v>
      </c>
      <c r="D50" s="83">
        <f>VLOOKUP(A50,'[1]SQL DATA'!$B:$J,9,FALSE)</f>
        <v>48169.3</v>
      </c>
      <c r="E50" s="85">
        <f>VLOOKUP(A50,'[1]SQL DATA'!$B:$J,7,FALSE)</f>
        <v>37408.79</v>
      </c>
      <c r="F50" s="84">
        <f>VLOOKUP(A50,'[1]SQL DATA'!$B:$J,6,FALSE)</f>
        <v>263261.63</v>
      </c>
      <c r="G50" s="83">
        <v>46010</v>
      </c>
      <c r="H50" s="83">
        <f>90000+44500</f>
        <v>134500</v>
      </c>
    </row>
    <row r="51" spans="1:8" x14ac:dyDescent="0.2">
      <c r="A51" s="222" t="s">
        <v>499</v>
      </c>
      <c r="B51" s="223"/>
      <c r="C51" s="73">
        <f>+C50</f>
        <v>67322.92</v>
      </c>
      <c r="D51" s="73">
        <f>+D50</f>
        <v>48169.3</v>
      </c>
      <c r="E51" s="50">
        <f>+E50</f>
        <v>37408.79</v>
      </c>
      <c r="F51" s="49">
        <f>+F50</f>
        <v>263261.63</v>
      </c>
      <c r="G51" s="73">
        <f t="shared" ref="G51:H51" si="8">+G50</f>
        <v>46010</v>
      </c>
      <c r="H51" s="73">
        <f t="shared" si="8"/>
        <v>134500</v>
      </c>
    </row>
    <row r="52" spans="1:8" x14ac:dyDescent="0.2">
      <c r="A52" s="222"/>
      <c r="B52" s="223"/>
      <c r="C52" s="223"/>
      <c r="D52" s="73"/>
      <c r="E52" s="50"/>
      <c r="F52" s="49"/>
      <c r="G52" s="73"/>
      <c r="H52" s="73"/>
    </row>
    <row r="53" spans="1:8" x14ac:dyDescent="0.2">
      <c r="A53" s="221" t="s">
        <v>500</v>
      </c>
      <c r="B53" s="223"/>
      <c r="C53" s="223"/>
      <c r="D53" s="73"/>
      <c r="E53" s="50"/>
      <c r="F53" s="49"/>
      <c r="G53" s="73"/>
      <c r="H53" s="73"/>
    </row>
    <row r="54" spans="1:8" x14ac:dyDescent="0.2">
      <c r="A54" s="191" t="s">
        <v>501</v>
      </c>
      <c r="B54" s="215" t="str">
        <f>VLOOKUP(A54,'[1]SQL DATA'!$B:$J,3,FALSE)</f>
        <v>UT - Sewer - Pur of Cap Assets - Infra</v>
      </c>
      <c r="C54" s="20">
        <f>VLOOKUP(A54,'[1]SQL DATA'!$B:$K,10,FALSE)</f>
        <v>0</v>
      </c>
      <c r="D54" s="73">
        <f>VLOOKUP(A54,'[1]SQL DATA'!$B:$J,9,FALSE)</f>
        <v>0</v>
      </c>
      <c r="E54" s="50">
        <f>VLOOKUP(A54,'[1]SQL DATA'!$B:$J,7,FALSE)</f>
        <v>0</v>
      </c>
      <c r="F54" s="49">
        <f>VLOOKUP(A54,'[1]SQL DATA'!$B:$J,6,FALSE)</f>
        <v>0</v>
      </c>
      <c r="G54" s="20">
        <v>80000</v>
      </c>
      <c r="H54" s="20">
        <v>0</v>
      </c>
    </row>
    <row r="55" spans="1:8" x14ac:dyDescent="0.2">
      <c r="A55" s="191" t="s">
        <v>502</v>
      </c>
      <c r="B55" s="215" t="str">
        <f>VLOOKUP(A55,'[1]SQL DATA'!$B:$J,3,FALSE)</f>
        <v>UT - Sewer - WWTP Loan Pymnt CMHC</v>
      </c>
      <c r="C55" s="20">
        <f>VLOOKUP(A55,'[1]SQL DATA'!$B:$K,10,FALSE)</f>
        <v>0</v>
      </c>
      <c r="D55" s="73">
        <f>VLOOKUP(A55,'[1]SQL DATA'!$B:$J,9,FALSE)</f>
        <v>0</v>
      </c>
      <c r="E55" s="50">
        <f>VLOOKUP(A55,'[1]SQL DATA'!$B:$J,7,FALSE)</f>
        <v>0</v>
      </c>
      <c r="F55" s="49">
        <f>VLOOKUP(A55,'[1]SQL DATA'!$B:$J,6,FALSE)</f>
        <v>0</v>
      </c>
      <c r="G55" s="20">
        <v>218270</v>
      </c>
      <c r="H55" s="20">
        <f>84360+218800</f>
        <v>303160</v>
      </c>
    </row>
    <row r="56" spans="1:8" x14ac:dyDescent="0.2">
      <c r="A56" s="194" t="s">
        <v>503</v>
      </c>
      <c r="B56" s="224" t="str">
        <f>VLOOKUP(A56,'[1]SQL DATA'!$B:$J,3,FALSE)</f>
        <v>Transfer to Reserves - WW &amp; WWTP</v>
      </c>
      <c r="C56" s="29">
        <f>VLOOKUP(A56,'[1]SQL DATA'!$B:$K,10,FALSE)</f>
        <v>0</v>
      </c>
      <c r="D56" s="189">
        <f>VLOOKUP(A56,'[1]SQL DATA'!$B:$J,9,FALSE)</f>
        <v>170000</v>
      </c>
      <c r="E56" s="189">
        <f>VLOOKUP(A56,'[1]SQL DATA'!$B:$J,7,FALSE)</f>
        <v>200000</v>
      </c>
      <c r="F56" s="189">
        <f>VLOOKUP(A56,'[1]SQL DATA'!$B:$J,6,FALSE)</f>
        <v>0</v>
      </c>
      <c r="G56" s="29">
        <v>200000</v>
      </c>
      <c r="H56" s="29">
        <v>0</v>
      </c>
    </row>
    <row r="57" spans="1:8" x14ac:dyDescent="0.2">
      <c r="A57" s="191"/>
      <c r="B57" s="215"/>
      <c r="C57" s="215"/>
      <c r="D57" s="73"/>
      <c r="E57" s="50"/>
      <c r="F57" s="49"/>
      <c r="G57" s="20"/>
      <c r="H57" s="20"/>
    </row>
    <row r="58" spans="1:8" x14ac:dyDescent="0.2">
      <c r="A58" s="34" t="s">
        <v>21</v>
      </c>
      <c r="B58" s="72"/>
      <c r="C58" s="30">
        <f>C24+C28+C34+C43+C47+C51+C54+C55+C56</f>
        <v>581328.26</v>
      </c>
      <c r="D58" s="30">
        <f>D24+D28+D34+D43+D47+D51+D54+D55+D56</f>
        <v>696406.64</v>
      </c>
      <c r="E58" s="19">
        <f>E24+E28+E34+E43+E47+E51+E54+E55+E56</f>
        <v>745783.72</v>
      </c>
      <c r="F58" s="18">
        <f>F24+F28+F34+F43+F47+F51+F54+F55+F56</f>
        <v>413102.42</v>
      </c>
      <c r="G58" s="30">
        <f t="shared" ref="G58:H58" si="9">G24+G28+G34+G43+G47+G51+G54+G55+G56</f>
        <v>779830</v>
      </c>
      <c r="H58" s="30">
        <f t="shared" si="9"/>
        <v>730859.576</v>
      </c>
    </row>
    <row r="59" spans="1:8" x14ac:dyDescent="0.2">
      <c r="A59" s="34"/>
      <c r="B59" s="72"/>
      <c r="C59" s="66"/>
      <c r="D59" s="66"/>
      <c r="E59" s="68"/>
      <c r="F59" s="67"/>
      <c r="G59" s="87"/>
      <c r="H59" s="87"/>
    </row>
    <row r="60" spans="1:8" ht="13.5" thickBot="1" x14ac:dyDescent="0.25">
      <c r="A60" s="34" t="s">
        <v>22</v>
      </c>
      <c r="B60" s="72"/>
      <c r="C60" s="69">
        <f>(C14)-C58</f>
        <v>-146784.58999999997</v>
      </c>
      <c r="D60" s="69">
        <f>(D14)-D58</f>
        <v>-354953.63</v>
      </c>
      <c r="E60" s="70">
        <f t="shared" ref="E60:H60" si="10">(E14)-E58</f>
        <v>-215450.25</v>
      </c>
      <c r="F60" s="69">
        <f t="shared" si="10"/>
        <v>-203806.57</v>
      </c>
      <c r="G60" s="69">
        <f t="shared" si="10"/>
        <v>-333400</v>
      </c>
      <c r="H60" s="69">
        <f t="shared" si="10"/>
        <v>-160149.576</v>
      </c>
    </row>
    <row r="61" spans="1:8" ht="13.5" thickTop="1" x14ac:dyDescent="0.2"/>
  </sheetData>
  <pageMargins left="0.74803149606299213" right="0.74803149606299213" top="0.59055118110236227" bottom="0.74803149606299213" header="3.937007874015748E-2" footer="3.937007874015748E-2"/>
  <pageSetup scale="92" pageOrder="overThenDown" orientation="portrait" r:id="rId1"/>
  <headerFooter>
    <oddHeader xml:space="preserve">&amp;C&amp;"Calibri,Bold"&amp;10TOWN OF SHELLBROOK&amp;"Calibri,Regular"
Sewer
</oddHeader>
    <oddFooter>&amp;L&amp;P of &amp;N &amp;C&amp;R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8BC7C-5588-45DA-8B48-C9C86FB0C4C6}">
  <dimension ref="A1:H39"/>
  <sheetViews>
    <sheetView topLeftCell="A25" zoomScale="150" zoomScaleNormal="150" zoomScalePageLayoutView="90" workbookViewId="0">
      <selection activeCell="G9" sqref="G9"/>
    </sheetView>
  </sheetViews>
  <sheetFormatPr defaultColWidth="8.85546875" defaultRowHeight="12.75" x14ac:dyDescent="0.2"/>
  <cols>
    <col min="1" max="1" width="15" style="1" customWidth="1"/>
    <col min="2" max="2" width="31.28515625" style="1" bestFit="1" customWidth="1"/>
    <col min="3" max="3" width="7.140625" style="1" bestFit="1" customWidth="1"/>
    <col min="4" max="4" width="8.140625" style="1" bestFit="1" customWidth="1"/>
    <col min="5" max="7" width="6.5703125" style="1" bestFit="1" customWidth="1"/>
    <col min="8" max="8" width="7.140625" style="1" bestFit="1" customWidth="1"/>
    <col min="9" max="16384" width="8.85546875" style="1"/>
  </cols>
  <sheetData>
    <row r="1" spans="1:8" x14ac:dyDescent="0.2">
      <c r="B1" s="71"/>
      <c r="C1" s="2">
        <v>2019</v>
      </c>
      <c r="D1" s="2">
        <v>2020</v>
      </c>
      <c r="E1" s="3">
        <v>2021</v>
      </c>
      <c r="F1" s="2">
        <v>2022</v>
      </c>
      <c r="G1" s="2">
        <v>2021</v>
      </c>
      <c r="H1" s="2">
        <v>2022</v>
      </c>
    </row>
    <row r="2" spans="1:8" x14ac:dyDescent="0.2">
      <c r="B2" s="2"/>
      <c r="C2" s="4" t="s">
        <v>0</v>
      </c>
      <c r="D2" s="5" t="s">
        <v>0</v>
      </c>
      <c r="E2" s="6" t="s">
        <v>0</v>
      </c>
      <c r="F2" s="5" t="s">
        <v>0</v>
      </c>
      <c r="G2" s="5" t="s">
        <v>1</v>
      </c>
      <c r="H2" s="5" t="s">
        <v>1</v>
      </c>
    </row>
    <row r="3" spans="1:8" x14ac:dyDescent="0.2">
      <c r="A3" s="7" t="s">
        <v>2</v>
      </c>
      <c r="E3" s="8"/>
    </row>
    <row r="4" spans="1:8" x14ac:dyDescent="0.2">
      <c r="A4" s="1" t="s">
        <v>104</v>
      </c>
      <c r="E4" s="8"/>
    </row>
    <row r="5" spans="1:8" x14ac:dyDescent="0.2">
      <c r="B5" s="37" t="s">
        <v>3</v>
      </c>
      <c r="C5" s="225">
        <v>0</v>
      </c>
      <c r="D5" s="24">
        <v>0</v>
      </c>
      <c r="E5" s="57">
        <v>0</v>
      </c>
      <c r="F5" s="56">
        <v>0</v>
      </c>
      <c r="G5" s="225">
        <v>0</v>
      </c>
      <c r="H5" s="225">
        <v>0</v>
      </c>
    </row>
    <row r="6" spans="1:8" x14ac:dyDescent="0.2">
      <c r="A6" s="9" t="s">
        <v>27</v>
      </c>
      <c r="C6" s="59">
        <f>C5</f>
        <v>0</v>
      </c>
      <c r="D6" s="59">
        <f>D5</f>
        <v>0</v>
      </c>
      <c r="E6" s="48">
        <f>E5</f>
        <v>0</v>
      </c>
      <c r="F6" s="47">
        <f>F5</f>
        <v>0</v>
      </c>
      <c r="G6" s="59">
        <f t="shared" ref="G6:H6" si="0">G5</f>
        <v>0</v>
      </c>
      <c r="H6" s="59">
        <f t="shared" si="0"/>
        <v>0</v>
      </c>
    </row>
    <row r="7" spans="1:8" x14ac:dyDescent="0.2">
      <c r="D7" s="73"/>
      <c r="E7" s="50"/>
      <c r="F7" s="49"/>
      <c r="G7" s="73"/>
      <c r="H7" s="73"/>
    </row>
    <row r="8" spans="1:8" x14ac:dyDescent="0.2">
      <c r="A8" s="45" t="s">
        <v>28</v>
      </c>
      <c r="D8" s="73"/>
      <c r="E8" s="50"/>
      <c r="F8" s="49"/>
      <c r="G8" s="73"/>
      <c r="H8" s="73"/>
    </row>
    <row r="9" spans="1:8" x14ac:dyDescent="0.2">
      <c r="A9" s="1" t="s">
        <v>504</v>
      </c>
      <c r="B9" s="1" t="str">
        <f>VLOOKUP(A9,'[1]SQL DATA'!$B:$J,3,FALSE)</f>
        <v>F&amp;C - Airport Lease Hanger Sites</v>
      </c>
      <c r="C9" s="20">
        <f>VLOOKUP(A9,'[1]SQL DATA'!$B:$K,10,FALSE)</f>
        <v>3710.94</v>
      </c>
      <c r="D9" s="73">
        <f>VLOOKUP(A9,'[1]SQL DATA'!$B:$J,9,FALSE)</f>
        <v>3500</v>
      </c>
      <c r="E9" s="50">
        <f>VLOOKUP(A9,'[1]SQL DATA'!$B:$J,7,FALSE)</f>
        <v>3500</v>
      </c>
      <c r="F9" s="49">
        <f>VLOOKUP(A9,'[1]SQL DATA'!$B:$J,6,FALSE)</f>
        <v>3500</v>
      </c>
      <c r="G9" s="165">
        <v>3500</v>
      </c>
      <c r="H9" s="165">
        <v>3130</v>
      </c>
    </row>
    <row r="10" spans="1:8" x14ac:dyDescent="0.2">
      <c r="A10" s="9" t="s">
        <v>42</v>
      </c>
      <c r="B10" s="72"/>
      <c r="C10" s="30">
        <f>SUM(C9)</f>
        <v>3710.94</v>
      </c>
      <c r="D10" s="30">
        <f>D9</f>
        <v>3500</v>
      </c>
      <c r="E10" s="19">
        <f>E9</f>
        <v>3500</v>
      </c>
      <c r="F10" s="18">
        <f>F9</f>
        <v>3500</v>
      </c>
      <c r="G10" s="30">
        <f t="shared" ref="G10:H10" si="1">G9</f>
        <v>3500</v>
      </c>
      <c r="H10" s="30">
        <f t="shared" si="1"/>
        <v>3130</v>
      </c>
    </row>
    <row r="11" spans="1:8" x14ac:dyDescent="0.2">
      <c r="D11" s="20"/>
      <c r="E11" s="16"/>
      <c r="F11" s="15"/>
      <c r="G11" s="20"/>
      <c r="H11" s="20"/>
    </row>
    <row r="12" spans="1:8" x14ac:dyDescent="0.2">
      <c r="A12" s="45" t="s">
        <v>505</v>
      </c>
      <c r="D12" s="20"/>
      <c r="E12" s="16"/>
      <c r="F12" s="15"/>
      <c r="G12" s="20"/>
      <c r="H12" s="20"/>
    </row>
    <row r="13" spans="1:8" x14ac:dyDescent="0.2">
      <c r="B13" s="37" t="s">
        <v>506</v>
      </c>
      <c r="C13" s="225">
        <v>0</v>
      </c>
      <c r="D13" s="20">
        <v>0</v>
      </c>
      <c r="E13" s="16">
        <v>0</v>
      </c>
      <c r="F13" s="15">
        <v>0</v>
      </c>
      <c r="G13" s="20">
        <v>0</v>
      </c>
      <c r="H13" s="20">
        <v>0</v>
      </c>
    </row>
    <row r="14" spans="1:8" x14ac:dyDescent="0.2">
      <c r="A14" s="9" t="s">
        <v>507</v>
      </c>
      <c r="B14" s="72"/>
      <c r="C14" s="72">
        <v>0</v>
      </c>
      <c r="D14" s="177">
        <f>SUM(D13)</f>
        <v>0</v>
      </c>
      <c r="E14" s="178">
        <f>SUM(E13)</f>
        <v>0</v>
      </c>
      <c r="F14" s="179">
        <f>SUM(F13)</f>
        <v>0</v>
      </c>
      <c r="G14" s="177">
        <f t="shared" ref="G14:H14" si="2">SUM(G13)</f>
        <v>0</v>
      </c>
      <c r="H14" s="177">
        <f t="shared" si="2"/>
        <v>0</v>
      </c>
    </row>
    <row r="15" spans="1:8" x14ac:dyDescent="0.2">
      <c r="B15" s="82"/>
      <c r="C15" s="82"/>
      <c r="D15" s="20"/>
      <c r="E15" s="16"/>
      <c r="F15" s="15"/>
      <c r="G15" s="20"/>
      <c r="H15" s="20"/>
    </row>
    <row r="16" spans="1:8" x14ac:dyDescent="0.2">
      <c r="A16" s="51" t="s">
        <v>7</v>
      </c>
      <c r="B16" s="72"/>
      <c r="C16" s="30">
        <f>C10+C14</f>
        <v>3710.94</v>
      </c>
      <c r="D16" s="30">
        <f>D10+D14</f>
        <v>3500</v>
      </c>
      <c r="E16" s="19">
        <f>E10+E14</f>
        <v>3500</v>
      </c>
      <c r="F16" s="18">
        <f>F10+F14</f>
        <v>3500</v>
      </c>
      <c r="G16" s="30">
        <f t="shared" ref="G16:H16" si="3">G10+G14</f>
        <v>3500</v>
      </c>
      <c r="H16" s="30">
        <f t="shared" si="3"/>
        <v>3130</v>
      </c>
    </row>
    <row r="17" spans="1:8" x14ac:dyDescent="0.2">
      <c r="A17" s="1" t="s">
        <v>8</v>
      </c>
      <c r="D17" s="73"/>
      <c r="E17" s="50"/>
      <c r="F17" s="49"/>
      <c r="G17" s="73"/>
      <c r="H17" s="73"/>
    </row>
    <row r="18" spans="1:8" x14ac:dyDescent="0.2">
      <c r="A18" s="7" t="s">
        <v>9</v>
      </c>
      <c r="D18" s="73"/>
      <c r="E18" s="50"/>
      <c r="F18" s="49"/>
      <c r="G18" s="73"/>
      <c r="H18" s="73"/>
    </row>
    <row r="19" spans="1:8" x14ac:dyDescent="0.2">
      <c r="A19" s="45" t="s">
        <v>59</v>
      </c>
      <c r="D19" s="73"/>
      <c r="E19" s="50"/>
      <c r="F19" s="49"/>
      <c r="G19" s="73"/>
      <c r="H19" s="73"/>
    </row>
    <row r="20" spans="1:8" x14ac:dyDescent="0.2">
      <c r="A20" s="1" t="s">
        <v>508</v>
      </c>
      <c r="B20" s="1" t="str">
        <f>VLOOKUP(A20,'[1]SQL DATA'!$B:$J,3,FALSE)</f>
        <v>TS - Maint. - Airstrip</v>
      </c>
      <c r="C20" s="20">
        <f>VLOOKUP(A20,'[1]SQL DATA'!$B:$K,10,FALSE)</f>
        <v>3132.65</v>
      </c>
      <c r="D20" s="73">
        <f>VLOOKUP(A20,'[1]SQL DATA'!$B:$J,9,FALSE)</f>
        <v>800</v>
      </c>
      <c r="E20" s="50">
        <f>VLOOKUP(A20,'[1]SQL DATA'!$B:$J,7,FALSE)</f>
        <v>800</v>
      </c>
      <c r="F20" s="49">
        <f>VLOOKUP(A20,'[1]SQL DATA'!$B:$J,6,FALSE)</f>
        <v>0</v>
      </c>
      <c r="G20" s="165">
        <v>0</v>
      </c>
      <c r="H20" s="165">
        <v>0</v>
      </c>
    </row>
    <row r="21" spans="1:8" x14ac:dyDescent="0.2">
      <c r="A21" s="9" t="s">
        <v>66</v>
      </c>
      <c r="B21" s="72"/>
      <c r="C21" s="30">
        <f>SUM(C20:C20)</f>
        <v>3132.65</v>
      </c>
      <c r="D21" s="30">
        <f>SUM(D20:D20)</f>
        <v>800</v>
      </c>
      <c r="E21" s="19">
        <f>SUM(E20:E20)</f>
        <v>800</v>
      </c>
      <c r="F21" s="18">
        <f>SUM(F20:F20)</f>
        <v>0</v>
      </c>
      <c r="G21" s="30">
        <f t="shared" ref="G21:H21" si="4">SUM(G20:G20)</f>
        <v>0</v>
      </c>
      <c r="H21" s="30">
        <f t="shared" si="4"/>
        <v>0</v>
      </c>
    </row>
    <row r="22" spans="1:8" x14ac:dyDescent="0.2">
      <c r="A22" s="1" t="s">
        <v>8</v>
      </c>
      <c r="D22" s="73"/>
      <c r="E22" s="50"/>
      <c r="F22" s="49"/>
      <c r="G22" s="73"/>
      <c r="H22" s="73"/>
    </row>
    <row r="23" spans="1:8" x14ac:dyDescent="0.2">
      <c r="A23" s="45" t="s">
        <v>67</v>
      </c>
      <c r="D23" s="73"/>
      <c r="E23" s="50"/>
      <c r="F23" s="49"/>
      <c r="G23" s="73"/>
      <c r="H23" s="73"/>
    </row>
    <row r="24" spans="1:8" x14ac:dyDescent="0.2">
      <c r="A24" s="1" t="s">
        <v>509</v>
      </c>
      <c r="B24" s="37" t="s">
        <v>510</v>
      </c>
      <c r="C24" s="20">
        <f>VLOOKUP(A24,'[1]SQL DATA'!$B:$K,10,FALSE)</f>
        <v>713.64</v>
      </c>
      <c r="D24" s="73">
        <f>VLOOKUP(A24,'[1]SQL DATA'!$B:$J,9,FALSE)</f>
        <v>840.27</v>
      </c>
      <c r="E24" s="50">
        <f>VLOOKUP(A24,'[1]SQL DATA'!$B:$J,7,FALSE)</f>
        <v>702.41</v>
      </c>
      <c r="F24" s="49">
        <f>VLOOKUP(A24,'[1]SQL DATA'!$B:$J,6,FALSE)</f>
        <v>612.88</v>
      </c>
      <c r="G24" s="165">
        <v>700</v>
      </c>
      <c r="H24" s="165">
        <v>700</v>
      </c>
    </row>
    <row r="25" spans="1:8" x14ac:dyDescent="0.2">
      <c r="A25" s="9" t="s">
        <v>72</v>
      </c>
      <c r="B25" s="72"/>
      <c r="C25" s="30">
        <f>SUM(C24:C24)</f>
        <v>713.64</v>
      </c>
      <c r="D25" s="30">
        <f>SUM(D24:D24)</f>
        <v>840.27</v>
      </c>
      <c r="E25" s="19">
        <f>SUM(E24:E24)</f>
        <v>702.41</v>
      </c>
      <c r="F25" s="18">
        <f>SUM(F24:F24)</f>
        <v>612.88</v>
      </c>
      <c r="G25" s="30">
        <f t="shared" ref="G25:H25" si="5">SUM(G24:G24)</f>
        <v>700</v>
      </c>
      <c r="H25" s="30">
        <f t="shared" si="5"/>
        <v>700</v>
      </c>
    </row>
    <row r="26" spans="1:8" x14ac:dyDescent="0.2">
      <c r="A26" s="1" t="s">
        <v>8</v>
      </c>
      <c r="D26" s="73"/>
      <c r="E26" s="50"/>
      <c r="F26" s="49"/>
      <c r="G26" s="73"/>
      <c r="H26" s="73"/>
    </row>
    <row r="27" spans="1:8" x14ac:dyDescent="0.2">
      <c r="A27" s="45" t="s">
        <v>111</v>
      </c>
      <c r="D27" s="73"/>
      <c r="E27" s="50"/>
      <c r="F27" s="49"/>
      <c r="G27" s="73"/>
      <c r="H27" s="73"/>
    </row>
    <row r="28" spans="1:8" x14ac:dyDescent="0.2">
      <c r="A28" s="1" t="s">
        <v>508</v>
      </c>
      <c r="B28" s="1" t="str">
        <f>VLOOKUP(A28,'[1]SQL DATA'!$B:$J,3,FALSE)</f>
        <v>TS - Maint. - Airstrip</v>
      </c>
      <c r="C28" s="20">
        <f>VLOOKUP(A28,'[1]SQL DATA'!$B:$K,10,FALSE)</f>
        <v>3132.65</v>
      </c>
      <c r="D28" s="73">
        <f>VLOOKUP(A28,'[1]SQL DATA'!$B:$J,9,FALSE)</f>
        <v>800</v>
      </c>
      <c r="E28" s="50">
        <f>VLOOKUP(A28,'[1]SQL DATA'!$B:$J,7,FALSE)</f>
        <v>800</v>
      </c>
      <c r="F28" s="49">
        <f>VLOOKUP(A28,'[1]SQL DATA'!$B:$J,6,FALSE)</f>
        <v>0</v>
      </c>
      <c r="G28" s="165">
        <v>800</v>
      </c>
      <c r="H28" s="165">
        <v>800</v>
      </c>
    </row>
    <row r="29" spans="1:8" x14ac:dyDescent="0.2">
      <c r="A29" s="1" t="s">
        <v>511</v>
      </c>
      <c r="B29" s="1" t="str">
        <f>VLOOKUP(A29,'[1]SQL DATA'!$B:$J,3,FALSE)</f>
        <v>TS - Property &amp; Liability Ins.- Airstrip</v>
      </c>
      <c r="C29" s="83">
        <f>VLOOKUP(A29,'[1]SQL DATA'!$B:$K,10,FALSE)</f>
        <v>699.6</v>
      </c>
      <c r="D29" s="83">
        <f>VLOOKUP(A29,'[1]SQL DATA'!$B:$J,9,FALSE)</f>
        <v>393.32</v>
      </c>
      <c r="E29" s="85">
        <f>VLOOKUP(A29,'[1]SQL DATA'!$B:$J,7,FALSE)</f>
        <v>1052.1300000000001</v>
      </c>
      <c r="F29" s="84">
        <f>VLOOKUP(A29,'[1]SQL DATA'!$B:$J,6,FALSE)</f>
        <v>1052.1199999999999</v>
      </c>
      <c r="G29" s="86">
        <v>1050</v>
      </c>
      <c r="H29" s="86">
        <v>1050</v>
      </c>
    </row>
    <row r="30" spans="1:8" x14ac:dyDescent="0.2">
      <c r="A30" s="9" t="s">
        <v>85</v>
      </c>
      <c r="C30" s="177">
        <f>SUM(C28:C29)</f>
        <v>3832.25</v>
      </c>
      <c r="D30" s="177">
        <f>SUM(D28:D29)</f>
        <v>1193.32</v>
      </c>
      <c r="E30" s="178">
        <f>SUM(E28:E29)</f>
        <v>1852.13</v>
      </c>
      <c r="F30" s="179">
        <f>SUM(F28:F29)</f>
        <v>1052.1199999999999</v>
      </c>
      <c r="G30" s="177">
        <f t="shared" ref="G30:H30" si="6">SUM(G28:G29)</f>
        <v>1850</v>
      </c>
      <c r="H30" s="177">
        <f t="shared" si="6"/>
        <v>1850</v>
      </c>
    </row>
    <row r="31" spans="1:8" x14ac:dyDescent="0.2">
      <c r="A31" s="1" t="s">
        <v>8</v>
      </c>
      <c r="D31" s="73"/>
      <c r="E31" s="50"/>
      <c r="F31" s="49"/>
      <c r="G31" s="73"/>
      <c r="H31" s="73"/>
    </row>
    <row r="32" spans="1:8" x14ac:dyDescent="0.2">
      <c r="A32" s="45" t="s">
        <v>438</v>
      </c>
      <c r="D32" s="73"/>
      <c r="E32" s="50"/>
      <c r="F32" s="49"/>
      <c r="G32" s="73"/>
      <c r="H32" s="73"/>
    </row>
    <row r="33" spans="1:8" x14ac:dyDescent="0.2">
      <c r="A33" s="45"/>
      <c r="B33" s="37" t="s">
        <v>512</v>
      </c>
      <c r="C33" s="225">
        <v>0</v>
      </c>
      <c r="D33" s="165">
        <v>0</v>
      </c>
      <c r="E33" s="226">
        <v>0</v>
      </c>
      <c r="F33" s="227">
        <v>0</v>
      </c>
      <c r="G33" s="165">
        <v>0</v>
      </c>
      <c r="H33" s="165">
        <v>0</v>
      </c>
    </row>
    <row r="34" spans="1:8" x14ac:dyDescent="0.2">
      <c r="A34" s="9" t="s">
        <v>416</v>
      </c>
      <c r="B34" s="72"/>
      <c r="C34" s="59">
        <f>SUM(C33)</f>
        <v>0</v>
      </c>
      <c r="D34" s="59">
        <f>SUM(D33)</f>
        <v>0</v>
      </c>
      <c r="E34" s="48">
        <f t="shared" ref="E34:H34" si="7">SUM(E33)</f>
        <v>0</v>
      </c>
      <c r="F34" s="47">
        <f t="shared" si="7"/>
        <v>0</v>
      </c>
      <c r="G34" s="59">
        <f t="shared" si="7"/>
        <v>0</v>
      </c>
      <c r="H34" s="59">
        <f t="shared" si="7"/>
        <v>0</v>
      </c>
    </row>
    <row r="35" spans="1:8" x14ac:dyDescent="0.2">
      <c r="A35" s="9"/>
      <c r="B35" s="72"/>
      <c r="C35" s="177"/>
      <c r="D35" s="177"/>
      <c r="E35" s="178"/>
      <c r="F35" s="179"/>
      <c r="G35" s="87"/>
      <c r="H35" s="87"/>
    </row>
    <row r="36" spans="1:8" x14ac:dyDescent="0.2">
      <c r="A36" s="51" t="s">
        <v>21</v>
      </c>
      <c r="B36" s="72"/>
      <c r="C36" s="30">
        <f>C21+C25+C30+C34</f>
        <v>7678.54</v>
      </c>
      <c r="D36" s="30">
        <f>D21+D25+D30+D34</f>
        <v>2833.59</v>
      </c>
      <c r="E36" s="19">
        <f>E21+E25+E30+E34</f>
        <v>3354.54</v>
      </c>
      <c r="F36" s="18">
        <f>F21+F25+F30+F33+F34</f>
        <v>1665</v>
      </c>
      <c r="G36" s="30">
        <f>G21+G25+G30+G33+G34</f>
        <v>2550</v>
      </c>
      <c r="H36" s="30">
        <f>H21+H25+H30+H33+H34</f>
        <v>2550</v>
      </c>
    </row>
    <row r="37" spans="1:8" x14ac:dyDescent="0.2">
      <c r="A37" s="1" t="s">
        <v>8</v>
      </c>
      <c r="C37" s="20"/>
      <c r="D37" s="20"/>
      <c r="E37" s="16"/>
      <c r="F37" s="15"/>
      <c r="G37" s="20"/>
      <c r="H37" s="20"/>
    </row>
    <row r="38" spans="1:8" ht="13.5" thickBot="1" x14ac:dyDescent="0.25">
      <c r="A38" s="34" t="s">
        <v>22</v>
      </c>
      <c r="B38" s="72"/>
      <c r="C38" s="69">
        <f>(C16)-C36</f>
        <v>-3967.6</v>
      </c>
      <c r="D38" s="69">
        <f>(D16)-D36</f>
        <v>666.40999999999985</v>
      </c>
      <c r="E38" s="70">
        <f t="shared" ref="E38:H38" si="8">(E16)-E36</f>
        <v>145.46000000000004</v>
      </c>
      <c r="F38" s="69">
        <f t="shared" si="8"/>
        <v>1835</v>
      </c>
      <c r="G38" s="69">
        <f t="shared" si="8"/>
        <v>950</v>
      </c>
      <c r="H38" s="69">
        <f t="shared" si="8"/>
        <v>580</v>
      </c>
    </row>
    <row r="39" spans="1:8" ht="13.5" thickTop="1" x14ac:dyDescent="0.2">
      <c r="A39" s="1" t="s">
        <v>8</v>
      </c>
    </row>
  </sheetData>
  <pageMargins left="0.74803149606299213" right="0.74803149606299213" top="0.74803149606299213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Airport
</oddHeader>
    <oddFooter>&amp;L&amp;P of &amp;N &amp;C&amp;R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A3F1F-02EC-4914-9B8A-583A8B1B7933}">
  <dimension ref="A1:H33"/>
  <sheetViews>
    <sheetView topLeftCell="A13" zoomScale="150" zoomScaleNormal="150" zoomScalePageLayoutView="90" workbookViewId="0">
      <selection activeCell="G9" sqref="G9"/>
    </sheetView>
  </sheetViews>
  <sheetFormatPr defaultColWidth="8.85546875" defaultRowHeight="12.75" x14ac:dyDescent="0.2"/>
  <cols>
    <col min="1" max="1" width="14" style="1" customWidth="1"/>
    <col min="2" max="2" width="20.85546875" style="1" customWidth="1"/>
    <col min="3" max="3" width="6.5703125" style="1" bestFit="1" customWidth="1"/>
    <col min="4" max="5" width="7.140625" style="1" bestFit="1" customWidth="1"/>
    <col min="6" max="6" width="6.5703125" style="1" bestFit="1" customWidth="1"/>
    <col min="7" max="7" width="10.85546875" style="1" customWidth="1"/>
    <col min="8" max="8" width="12" style="1" customWidth="1"/>
    <col min="9" max="16384" width="8.85546875" style="1"/>
  </cols>
  <sheetData>
    <row r="1" spans="1:8" x14ac:dyDescent="0.2">
      <c r="B1" s="71"/>
      <c r="C1" s="2">
        <v>2019</v>
      </c>
      <c r="D1" s="2">
        <v>2020</v>
      </c>
      <c r="E1" s="3">
        <v>2021</v>
      </c>
      <c r="F1" s="2">
        <v>2022</v>
      </c>
      <c r="G1" s="2">
        <v>2021</v>
      </c>
      <c r="H1" s="2">
        <v>2022</v>
      </c>
    </row>
    <row r="2" spans="1:8" x14ac:dyDescent="0.2">
      <c r="B2" s="2"/>
      <c r="C2" s="4" t="s">
        <v>0</v>
      </c>
      <c r="D2" s="5" t="s">
        <v>0</v>
      </c>
      <c r="E2" s="6" t="s">
        <v>0</v>
      </c>
      <c r="F2" s="5" t="s">
        <v>0</v>
      </c>
      <c r="G2" s="5" t="s">
        <v>1</v>
      </c>
      <c r="H2" s="5" t="s">
        <v>1</v>
      </c>
    </row>
    <row r="3" spans="1:8" x14ac:dyDescent="0.2">
      <c r="A3" s="7" t="s">
        <v>2</v>
      </c>
      <c r="E3" s="8"/>
    </row>
    <row r="4" spans="1:8" x14ac:dyDescent="0.2">
      <c r="A4" s="45" t="s">
        <v>28</v>
      </c>
      <c r="E4" s="8"/>
    </row>
    <row r="5" spans="1:8" x14ac:dyDescent="0.2">
      <c r="A5" s="228" t="s">
        <v>513</v>
      </c>
      <c r="B5" s="1" t="str">
        <f>VLOOKUP(A5,'[1]SQL DATA'!$B:$J,3,FALSE)</f>
        <v>F&amp;C - Signing Corridor Lease Fees</v>
      </c>
      <c r="C5" s="20">
        <f>VLOOKUP(A5,'[1]SQL DATA'!$B:$K,10,FALSE)</f>
        <v>2000</v>
      </c>
      <c r="D5" s="73">
        <f>VLOOKUP(A5,'[1]SQL DATA'!$B:$J,9,FALSE)</f>
        <v>2000</v>
      </c>
      <c r="E5" s="50">
        <f>VLOOKUP(A5,'[1]SQL DATA'!$B:$J,7,FALSE)</f>
        <v>2150</v>
      </c>
      <c r="F5" s="49">
        <f>VLOOKUP(A5,'[1]SQL DATA'!$B:$J,6,FALSE)</f>
        <v>1875</v>
      </c>
      <c r="G5" s="20">
        <v>1700</v>
      </c>
      <c r="H5" s="20">
        <v>1900</v>
      </c>
    </row>
    <row r="6" spans="1:8" x14ac:dyDescent="0.2">
      <c r="A6" s="1" t="s">
        <v>42</v>
      </c>
      <c r="B6" s="14"/>
      <c r="C6" s="92">
        <f>SUM(C5:C5)</f>
        <v>2000</v>
      </c>
      <c r="D6" s="92">
        <f>SUM(D5:D5)</f>
        <v>2000</v>
      </c>
      <c r="E6" s="91">
        <f>SUM(E5:E5)</f>
        <v>2150</v>
      </c>
      <c r="F6" s="90">
        <f>SUM(F5:F5)</f>
        <v>1875</v>
      </c>
      <c r="G6" s="92">
        <f t="shared" ref="G6:H6" si="0">SUM(G5:G5)</f>
        <v>1700</v>
      </c>
      <c r="H6" s="92">
        <f t="shared" si="0"/>
        <v>1900</v>
      </c>
    </row>
    <row r="7" spans="1:8" x14ac:dyDescent="0.2">
      <c r="C7" s="20"/>
      <c r="D7" s="20"/>
      <c r="E7" s="16"/>
      <c r="F7" s="15"/>
      <c r="G7" s="20"/>
      <c r="H7" s="20"/>
    </row>
    <row r="8" spans="1:8" x14ac:dyDescent="0.2">
      <c r="A8" s="34" t="s">
        <v>7</v>
      </c>
      <c r="B8" s="72"/>
      <c r="C8" s="30">
        <f>SUM(C6)</f>
        <v>2000</v>
      </c>
      <c r="D8" s="30">
        <f>SUM(D6)</f>
        <v>2000</v>
      </c>
      <c r="E8" s="19">
        <f>SUM(E6)</f>
        <v>2150</v>
      </c>
      <c r="F8" s="18">
        <f>SUM(F6)</f>
        <v>1875</v>
      </c>
      <c r="G8" s="30">
        <f t="shared" ref="G8:H8" si="1">SUM(G6)</f>
        <v>1700</v>
      </c>
      <c r="H8" s="30">
        <f t="shared" si="1"/>
        <v>1900</v>
      </c>
    </row>
    <row r="9" spans="1:8" x14ac:dyDescent="0.2">
      <c r="A9" s="1" t="s">
        <v>8</v>
      </c>
      <c r="D9" s="73"/>
      <c r="E9" s="50"/>
      <c r="F9" s="49"/>
      <c r="G9" s="73"/>
      <c r="H9" s="73"/>
    </row>
    <row r="10" spans="1:8" x14ac:dyDescent="0.2">
      <c r="A10" s="7" t="s">
        <v>9</v>
      </c>
      <c r="D10" s="73"/>
      <c r="E10" s="50"/>
      <c r="F10" s="49"/>
      <c r="G10" s="73"/>
      <c r="H10" s="73"/>
    </row>
    <row r="11" spans="1:8" x14ac:dyDescent="0.2">
      <c r="A11" s="45" t="s">
        <v>59</v>
      </c>
      <c r="C11" s="20"/>
      <c r="D11" s="73"/>
      <c r="E11" s="50"/>
      <c r="F11" s="49"/>
      <c r="G11" s="73"/>
      <c r="H11" s="73"/>
    </row>
    <row r="12" spans="1:8" x14ac:dyDescent="0.2">
      <c r="A12" s="228" t="s">
        <v>514</v>
      </c>
      <c r="B12" s="1" t="str">
        <f>VLOOKUP(A12,'[1]SQL DATA'!$B:$J,3,FALSE)</f>
        <v>P&amp;D - Cont. - Other Services</v>
      </c>
      <c r="C12" s="20">
        <f>VLOOKUP(A12,'[1]SQL DATA'!$B:$K,10,FALSE)</f>
        <v>800</v>
      </c>
      <c r="D12" s="73">
        <f>VLOOKUP(A12,'[1]SQL DATA'!$B:$J,9,FALSE)</f>
        <v>800</v>
      </c>
      <c r="E12" s="50">
        <f>VLOOKUP(A12,'[1]SQL DATA'!$B:$J,7,FALSE)</f>
        <v>800</v>
      </c>
      <c r="F12" s="49">
        <f>VLOOKUP(A12,'[1]SQL DATA'!$B:$J,6,FALSE)</f>
        <v>800</v>
      </c>
      <c r="G12" s="20">
        <v>1100</v>
      </c>
      <c r="H12" s="20">
        <v>800</v>
      </c>
    </row>
    <row r="13" spans="1:8" x14ac:dyDescent="0.2">
      <c r="A13" s="9" t="s">
        <v>66</v>
      </c>
      <c r="B13" s="82"/>
      <c r="C13" s="229">
        <f t="shared" ref="C13:H13" si="2">SUM(C12:C12)</f>
        <v>800</v>
      </c>
      <c r="D13" s="229">
        <f t="shared" si="2"/>
        <v>800</v>
      </c>
      <c r="E13" s="230">
        <f t="shared" si="2"/>
        <v>800</v>
      </c>
      <c r="F13" s="231">
        <f t="shared" si="2"/>
        <v>800</v>
      </c>
      <c r="G13" s="229">
        <f t="shared" si="2"/>
        <v>1100</v>
      </c>
      <c r="H13" s="229">
        <f t="shared" si="2"/>
        <v>800</v>
      </c>
    </row>
    <row r="14" spans="1:8" x14ac:dyDescent="0.2">
      <c r="A14" s="1" t="s">
        <v>8</v>
      </c>
      <c r="D14" s="73"/>
      <c r="E14" s="50"/>
      <c r="F14" s="49"/>
      <c r="G14" s="73"/>
      <c r="H14" s="73"/>
    </row>
    <row r="15" spans="1:8" x14ac:dyDescent="0.2">
      <c r="A15" s="45" t="s">
        <v>67</v>
      </c>
      <c r="B15" s="82"/>
      <c r="C15" s="82"/>
      <c r="D15" s="73"/>
      <c r="E15" s="50"/>
      <c r="F15" s="49"/>
      <c r="G15" s="73"/>
      <c r="H15" s="73"/>
    </row>
    <row r="16" spans="1:8" x14ac:dyDescent="0.2">
      <c r="A16" s="228" t="s">
        <v>515</v>
      </c>
      <c r="B16" s="1" t="str">
        <f>VLOOKUP(A16,'[1]SQL DATA'!$B:$J,3,FALSE)</f>
        <v>P&amp;D - Utility - Power</v>
      </c>
      <c r="C16" s="20">
        <f>VLOOKUP(A16,'[1]SQL DATA'!$B:$K,10,FALSE)</f>
        <v>503.24</v>
      </c>
      <c r="D16" s="73">
        <f>VLOOKUP(A16,'[1]SQL DATA'!$B:$J,9,FALSE)</f>
        <v>254.47</v>
      </c>
      <c r="E16" s="50">
        <f>VLOOKUP(A16,'[1]SQL DATA'!$B:$J,7,FALSE)</f>
        <v>279.45</v>
      </c>
      <c r="F16" s="49">
        <f>VLOOKUP(A16,'[1]SQL DATA'!$B:$J,6,FALSE)</f>
        <v>149.80000000000001</v>
      </c>
      <c r="G16" s="20">
        <v>510</v>
      </c>
      <c r="H16" s="20">
        <v>350</v>
      </c>
    </row>
    <row r="17" spans="1:8" x14ac:dyDescent="0.2">
      <c r="A17" s="9" t="s">
        <v>72</v>
      </c>
      <c r="B17" s="81"/>
      <c r="C17" s="229">
        <f>SUM(C16:C16)</f>
        <v>503.24</v>
      </c>
      <c r="D17" s="229">
        <f>SUM(D16:D16)</f>
        <v>254.47</v>
      </c>
      <c r="E17" s="230">
        <f>SUM(E16:E16)</f>
        <v>279.45</v>
      </c>
      <c r="F17" s="231">
        <f>SUM(F16:F16)</f>
        <v>149.80000000000001</v>
      </c>
      <c r="G17" s="229">
        <f t="shared" ref="G17:H17" si="3">SUM(G16:G16)</f>
        <v>510</v>
      </c>
      <c r="H17" s="229">
        <f t="shared" si="3"/>
        <v>350</v>
      </c>
    </row>
    <row r="18" spans="1:8" x14ac:dyDescent="0.2">
      <c r="A18" s="1" t="s">
        <v>8</v>
      </c>
      <c r="D18" s="73"/>
      <c r="E18" s="50"/>
      <c r="F18" s="49"/>
      <c r="G18" s="73"/>
      <c r="H18" s="73"/>
    </row>
    <row r="19" spans="1:8" x14ac:dyDescent="0.2">
      <c r="A19" s="45" t="s">
        <v>111</v>
      </c>
      <c r="D19" s="73"/>
      <c r="E19" s="50"/>
      <c r="F19" s="49"/>
      <c r="G19" s="73"/>
      <c r="H19" s="73"/>
    </row>
    <row r="20" spans="1:8" x14ac:dyDescent="0.2">
      <c r="A20" s="228" t="s">
        <v>516</v>
      </c>
      <c r="B20" s="1" t="str">
        <f>VLOOKUP(A20,'[1]SQL DATA'!$B:$J,3,FALSE)</f>
        <v>P&amp;D - Advertising &amp; Promo - Ec Dev</v>
      </c>
      <c r="C20" s="20">
        <f>VLOOKUP(A20,'[1]SQL DATA'!$B:$K,10,FALSE)</f>
        <v>0</v>
      </c>
      <c r="D20" s="73">
        <f>VLOOKUP(A20,'[1]SQL DATA'!$B:$J,9,FALSE)</f>
        <v>0</v>
      </c>
      <c r="E20" s="50">
        <f>VLOOKUP(A20,'[1]SQL DATA'!$B:$J,7,FALSE)</f>
        <v>3395.39</v>
      </c>
      <c r="F20" s="84">
        <f>VLOOKUP(A20,'[1]SQL DATA'!$B:$J,6,FALSE)</f>
        <v>330.55</v>
      </c>
      <c r="G20" s="83">
        <v>1800</v>
      </c>
      <c r="H20" s="83">
        <v>0</v>
      </c>
    </row>
    <row r="21" spans="1:8" x14ac:dyDescent="0.2">
      <c r="A21" s="9" t="s">
        <v>85</v>
      </c>
      <c r="B21" s="82"/>
      <c r="C21" s="92">
        <f>SUM(C20:C20)</f>
        <v>0</v>
      </c>
      <c r="D21" s="92">
        <f>SUM(D20:D20)</f>
        <v>0</v>
      </c>
      <c r="E21" s="91">
        <f>SUM(E20:E20)</f>
        <v>3395.39</v>
      </c>
      <c r="F21" s="49">
        <f>SUM(F20:F20)</f>
        <v>330.55</v>
      </c>
      <c r="G21" s="73">
        <f t="shared" ref="G21:H21" si="4">SUM(G20:G20)</f>
        <v>1800</v>
      </c>
      <c r="H21" s="73">
        <f t="shared" si="4"/>
        <v>0</v>
      </c>
    </row>
    <row r="22" spans="1:8" x14ac:dyDescent="0.2">
      <c r="A22" s="9"/>
      <c r="B22" s="82"/>
      <c r="C22" s="82"/>
      <c r="D22" s="20"/>
      <c r="E22" s="16"/>
      <c r="F22" s="15"/>
      <c r="G22" s="73"/>
      <c r="H22" s="73"/>
    </row>
    <row r="23" spans="1:8" x14ac:dyDescent="0.2">
      <c r="A23" s="34" t="s">
        <v>21</v>
      </c>
      <c r="B23" s="105"/>
      <c r="C23" s="30">
        <f t="shared" ref="C23:H23" si="5">C13+C17+C21</f>
        <v>1303.24</v>
      </c>
      <c r="D23" s="30">
        <f t="shared" si="5"/>
        <v>1054.47</v>
      </c>
      <c r="E23" s="19">
        <f t="shared" si="5"/>
        <v>4474.84</v>
      </c>
      <c r="F23" s="18">
        <f t="shared" si="5"/>
        <v>1280.3499999999999</v>
      </c>
      <c r="G23" s="30">
        <f t="shared" si="5"/>
        <v>3410</v>
      </c>
      <c r="H23" s="30">
        <f t="shared" si="5"/>
        <v>1150</v>
      </c>
    </row>
    <row r="24" spans="1:8" x14ac:dyDescent="0.2">
      <c r="A24" s="34" t="s">
        <v>8</v>
      </c>
      <c r="B24" s="17"/>
      <c r="C24" s="17"/>
      <c r="D24" s="20"/>
      <c r="E24" s="16"/>
      <c r="F24" s="15"/>
      <c r="G24" s="87"/>
      <c r="H24" s="87"/>
    </row>
    <row r="25" spans="1:8" x14ac:dyDescent="0.2">
      <c r="A25" s="34" t="s">
        <v>22</v>
      </c>
      <c r="B25" s="72"/>
      <c r="C25" s="18">
        <f>(C8)-C23</f>
        <v>696.76</v>
      </c>
      <c r="D25" s="18">
        <f>(D8)-D23</f>
        <v>945.53</v>
      </c>
      <c r="E25" s="19">
        <f t="shared" ref="E25:H25" si="6">(E8)-E23</f>
        <v>-2324.84</v>
      </c>
      <c r="F25" s="18">
        <f t="shared" si="6"/>
        <v>594.65000000000009</v>
      </c>
      <c r="G25" s="18">
        <f t="shared" si="6"/>
        <v>-1710</v>
      </c>
      <c r="H25" s="18">
        <f t="shared" si="6"/>
        <v>750</v>
      </c>
    </row>
    <row r="26" spans="1:8" x14ac:dyDescent="0.2">
      <c r="A26" s="1" t="s">
        <v>8</v>
      </c>
    </row>
    <row r="27" spans="1:8" x14ac:dyDescent="0.2">
      <c r="A27" s="1" t="s">
        <v>8</v>
      </c>
    </row>
    <row r="28" spans="1:8" x14ac:dyDescent="0.2">
      <c r="A28" s="1" t="s">
        <v>8</v>
      </c>
    </row>
    <row r="29" spans="1:8" x14ac:dyDescent="0.2">
      <c r="A29" s="1" t="s">
        <v>8</v>
      </c>
    </row>
    <row r="31" spans="1:8" x14ac:dyDescent="0.2">
      <c r="A31" s="1" t="s">
        <v>8</v>
      </c>
    </row>
    <row r="32" spans="1:8" x14ac:dyDescent="0.2">
      <c r="A32" s="1" t="s">
        <v>8</v>
      </c>
    </row>
    <row r="33" spans="1:1" x14ac:dyDescent="0.2">
      <c r="A33" s="1" t="s">
        <v>8</v>
      </c>
    </row>
  </sheetData>
  <pageMargins left="0.74803149606299213" right="0.74803149606299213" top="0.59027777777777779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Ec Dev
</oddHeader>
    <oddFooter>&amp;L&amp;P of &amp;N &amp;C&amp;R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504F6-4F67-44FC-AEEB-7264E44B430E}">
  <dimension ref="A1:H35"/>
  <sheetViews>
    <sheetView topLeftCell="A4" zoomScale="150" zoomScaleNormal="150" zoomScalePageLayoutView="90" workbookViewId="0">
      <selection activeCell="G9" sqref="G9"/>
    </sheetView>
  </sheetViews>
  <sheetFormatPr defaultColWidth="8.85546875" defaultRowHeight="15" x14ac:dyDescent="0.25"/>
  <cols>
    <col min="1" max="1" width="16.5703125" customWidth="1"/>
    <col min="2" max="2" width="16.85546875" customWidth="1"/>
    <col min="3" max="5" width="8.140625" bestFit="1" customWidth="1"/>
    <col min="6" max="6" width="7.7109375" customWidth="1"/>
    <col min="7" max="7" width="10.85546875" customWidth="1"/>
    <col min="8" max="8" width="9.140625" bestFit="1" customWidth="1"/>
  </cols>
  <sheetData>
    <row r="1" spans="1:8" x14ac:dyDescent="0.25">
      <c r="A1" s="20"/>
      <c r="B1" s="138"/>
      <c r="C1" s="2">
        <v>2019</v>
      </c>
      <c r="D1" s="2">
        <v>2020</v>
      </c>
      <c r="E1" s="3">
        <v>2021</v>
      </c>
      <c r="F1" s="2">
        <v>2022</v>
      </c>
      <c r="G1" s="2">
        <v>2021</v>
      </c>
      <c r="H1" s="2">
        <v>2022</v>
      </c>
    </row>
    <row r="2" spans="1:8" x14ac:dyDescent="0.25">
      <c r="A2" s="20"/>
      <c r="B2" s="138"/>
      <c r="C2" s="4" t="s">
        <v>0</v>
      </c>
      <c r="D2" s="5" t="s">
        <v>0</v>
      </c>
      <c r="E2" s="6" t="s">
        <v>0</v>
      </c>
      <c r="F2" s="5" t="s">
        <v>0</v>
      </c>
      <c r="G2" s="5" t="s">
        <v>1</v>
      </c>
      <c r="H2" s="5" t="s">
        <v>1</v>
      </c>
    </row>
    <row r="3" spans="1:8" x14ac:dyDescent="0.25">
      <c r="A3" s="22" t="s">
        <v>2</v>
      </c>
      <c r="B3" s="73"/>
      <c r="C3" s="73"/>
      <c r="D3" s="73"/>
      <c r="E3" s="50"/>
      <c r="F3" s="49"/>
      <c r="G3" s="73"/>
      <c r="H3" s="73"/>
    </row>
    <row r="4" spans="1:8" x14ac:dyDescent="0.25">
      <c r="B4" s="20" t="s">
        <v>3</v>
      </c>
      <c r="C4" s="83">
        <v>0</v>
      </c>
      <c r="D4" s="83">
        <v>0</v>
      </c>
      <c r="E4" s="85">
        <v>0</v>
      </c>
      <c r="F4" s="84">
        <v>0</v>
      </c>
      <c r="G4" s="83">
        <v>0</v>
      </c>
      <c r="H4" s="83">
        <v>68230</v>
      </c>
    </row>
    <row r="5" spans="1:8" x14ac:dyDescent="0.25">
      <c r="A5" s="20"/>
      <c r="B5" s="73"/>
      <c r="C5" s="73">
        <f t="shared" ref="C5:G5" si="0">SUM(C4)</f>
        <v>0</v>
      </c>
      <c r="D5" s="73">
        <f t="shared" si="0"/>
        <v>0</v>
      </c>
      <c r="E5" s="50">
        <f t="shared" si="0"/>
        <v>0</v>
      </c>
      <c r="F5" s="49">
        <f t="shared" si="0"/>
        <v>0</v>
      </c>
      <c r="G5" s="73">
        <f t="shared" si="0"/>
        <v>0</v>
      </c>
      <c r="H5" s="73">
        <f>SUM(H4)</f>
        <v>68230</v>
      </c>
    </row>
    <row r="6" spans="1:8" x14ac:dyDescent="0.25">
      <c r="A6" s="113" t="s">
        <v>517</v>
      </c>
      <c r="B6" s="73"/>
      <c r="C6" s="73"/>
      <c r="D6" s="73"/>
      <c r="E6" s="50"/>
      <c r="F6" s="49"/>
      <c r="G6" s="73"/>
      <c r="H6" s="73"/>
    </row>
    <row r="7" spans="1:8" x14ac:dyDescent="0.25">
      <c r="A7" s="20" t="s">
        <v>518</v>
      </c>
      <c r="B7" s="20" t="str">
        <f>VLOOKUP(A7,'[1]SQL DATA'!$B:$J,3,FALSE)</f>
        <v>F&amp;C - Sale of Land</v>
      </c>
      <c r="C7" s="20">
        <f>VLOOKUP(A7,'[1]SQL DATA'!$B:$K,10,FALSE)</f>
        <v>6642.34</v>
      </c>
      <c r="D7" s="73">
        <f>VLOOKUP(A7,'[1]SQL DATA'!$B:$J,9,FALSE)</f>
        <v>20153.650000000001</v>
      </c>
      <c r="E7" s="50">
        <f>VLOOKUP(A7,'[1]SQL DATA'!$B:$J,7,FALSE)</f>
        <v>22777.24</v>
      </c>
      <c r="F7" s="49">
        <f>VLOOKUP(A7,'[1]SQL DATA'!$B:$J,6,FALSE)</f>
        <v>0</v>
      </c>
      <c r="G7" s="20">
        <v>68230</v>
      </c>
      <c r="H7" s="20">
        <v>105680</v>
      </c>
    </row>
    <row r="8" spans="1:8" x14ac:dyDescent="0.25">
      <c r="A8" s="232" t="s">
        <v>519</v>
      </c>
      <c r="B8" s="87"/>
      <c r="C8" s="66">
        <f>SUM(C7:C7)</f>
        <v>6642.34</v>
      </c>
      <c r="D8" s="66">
        <f>SUM(D7:D7)</f>
        <v>20153.650000000001</v>
      </c>
      <c r="E8" s="68">
        <f>SUM(E7:E7)</f>
        <v>22777.24</v>
      </c>
      <c r="F8" s="67">
        <f>SUM(F7:F7)</f>
        <v>0</v>
      </c>
      <c r="G8" s="66">
        <f t="shared" ref="G8:H8" si="1">SUM(G7:G7)</f>
        <v>68230</v>
      </c>
      <c r="H8" s="66">
        <f t="shared" si="1"/>
        <v>105680</v>
      </c>
    </row>
    <row r="9" spans="1:8" x14ac:dyDescent="0.25">
      <c r="A9" s="20"/>
      <c r="B9" s="73"/>
      <c r="C9" s="73"/>
      <c r="D9" s="73"/>
      <c r="E9" s="50"/>
      <c r="F9" s="49"/>
      <c r="G9" s="73"/>
      <c r="H9" s="73"/>
    </row>
    <row r="10" spans="1:8" x14ac:dyDescent="0.25">
      <c r="A10" s="233" t="s">
        <v>7</v>
      </c>
      <c r="B10" s="73"/>
      <c r="C10" s="59">
        <f t="shared" ref="C10:H10" si="2">+C8+C5</f>
        <v>6642.34</v>
      </c>
      <c r="D10" s="59">
        <f t="shared" si="2"/>
        <v>20153.650000000001</v>
      </c>
      <c r="E10" s="48">
        <f t="shared" si="2"/>
        <v>22777.24</v>
      </c>
      <c r="F10" s="47">
        <f t="shared" si="2"/>
        <v>0</v>
      </c>
      <c r="G10" s="59">
        <f t="shared" si="2"/>
        <v>68230</v>
      </c>
      <c r="H10" s="59">
        <f t="shared" si="2"/>
        <v>173910</v>
      </c>
    </row>
    <row r="11" spans="1:8" x14ac:dyDescent="0.25">
      <c r="A11" s="20" t="s">
        <v>8</v>
      </c>
      <c r="B11" s="73"/>
      <c r="C11" s="73"/>
      <c r="D11" s="73"/>
      <c r="E11" s="50"/>
      <c r="F11" s="49"/>
      <c r="G11" s="73"/>
      <c r="H11" s="73"/>
    </row>
    <row r="12" spans="1:8" x14ac:dyDescent="0.25">
      <c r="A12" s="22" t="s">
        <v>9</v>
      </c>
      <c r="B12" s="73"/>
      <c r="C12" s="73"/>
      <c r="D12" s="73"/>
      <c r="E12" s="50"/>
      <c r="F12" s="49"/>
      <c r="G12" s="73"/>
      <c r="H12" s="73"/>
    </row>
    <row r="13" spans="1:8" x14ac:dyDescent="0.25">
      <c r="A13" s="113" t="s">
        <v>59</v>
      </c>
      <c r="B13" s="73"/>
      <c r="C13" s="73"/>
      <c r="D13" s="73"/>
      <c r="E13" s="50"/>
      <c r="F13" s="49"/>
      <c r="G13" s="73"/>
      <c r="H13" s="73"/>
    </row>
    <row r="14" spans="1:8" x14ac:dyDescent="0.25">
      <c r="A14" s="113" t="s">
        <v>520</v>
      </c>
      <c r="B14" s="20" t="str">
        <f>VLOOKUP(A14,'[1]SQL DATA'!$B:$J,3,FALSE)</f>
        <v>P&amp;D - Cont. - Professional Services</v>
      </c>
      <c r="C14" s="20">
        <f>VLOOKUP(A14,'[1]SQL DATA'!$B:$K,10,FALSE)</f>
        <v>6555.86</v>
      </c>
      <c r="D14" s="73">
        <f>VLOOKUP(A14,'[1]SQL DATA'!$B:$J,9,FALSE)</f>
        <v>13210.75</v>
      </c>
      <c r="E14" s="50">
        <f>VLOOKUP(A14,'[1]SQL DATA'!$B:$J,7,FALSE)</f>
        <v>-36.799999999999997</v>
      </c>
      <c r="F14" s="49">
        <f>VLOOKUP(A14,'[1]SQL DATA'!$B:$J,6,FALSE)</f>
        <v>9500</v>
      </c>
      <c r="G14" s="20">
        <v>15000</v>
      </c>
      <c r="H14" s="20">
        <v>78230</v>
      </c>
    </row>
    <row r="15" spans="1:8" x14ac:dyDescent="0.25">
      <c r="A15" s="113" t="s">
        <v>521</v>
      </c>
      <c r="B15" s="20" t="str">
        <f>VLOOKUP(A15,'[1]SQL DATA'!$B:$J,3,FALSE)</f>
        <v>P&amp;D - Cont. - Advertising &amp; Promotions</v>
      </c>
      <c r="C15" s="20">
        <f>VLOOKUP(A15,'[1]SQL DATA'!$B:$K,10,FALSE)</f>
        <v>6281.13</v>
      </c>
      <c r="D15" s="73">
        <f>VLOOKUP(A15,'[1]SQL DATA'!$B:$J,9,FALSE)</f>
        <v>3782.2</v>
      </c>
      <c r="E15" s="50">
        <f>VLOOKUP(A15,'[1]SQL DATA'!$B:$J,7,FALSE)</f>
        <v>0</v>
      </c>
      <c r="F15" s="49">
        <f>VLOOKUP(A15,'[1]SQL DATA'!$B:$J,6,FALSE)</f>
        <v>2284.56</v>
      </c>
      <c r="G15" s="20">
        <v>6300</v>
      </c>
      <c r="H15" s="20">
        <v>6300</v>
      </c>
    </row>
    <row r="16" spans="1:8" x14ac:dyDescent="0.25">
      <c r="A16" s="232" t="s">
        <v>66</v>
      </c>
      <c r="B16" s="73"/>
      <c r="C16" s="59">
        <f>SUM(C14:C15)</f>
        <v>12836.99</v>
      </c>
      <c r="D16" s="59">
        <f>SUM(D14:D15)</f>
        <v>16992.95</v>
      </c>
      <c r="E16" s="48">
        <f>SUM(E14:E15)</f>
        <v>-36.799999999999997</v>
      </c>
      <c r="F16" s="47">
        <f>SUM(F14:F15)</f>
        <v>11784.56</v>
      </c>
      <c r="G16" s="59">
        <f t="shared" ref="G16:H16" si="3">SUM(G14:G15)</f>
        <v>21300</v>
      </c>
      <c r="H16" s="59">
        <f t="shared" si="3"/>
        <v>84530</v>
      </c>
    </row>
    <row r="17" spans="1:8" x14ac:dyDescent="0.25">
      <c r="A17" s="234"/>
      <c r="B17" s="73"/>
      <c r="C17" s="73"/>
      <c r="D17" s="73"/>
      <c r="E17" s="50"/>
      <c r="F17" s="49"/>
      <c r="G17" s="73"/>
      <c r="H17" s="73"/>
    </row>
    <row r="18" spans="1:8" x14ac:dyDescent="0.25">
      <c r="A18" s="58" t="s">
        <v>111</v>
      </c>
      <c r="B18" s="73"/>
      <c r="C18" s="73"/>
      <c r="D18" s="73"/>
      <c r="E18" s="50"/>
      <c r="F18" s="49"/>
      <c r="G18" s="73"/>
      <c r="H18" s="73"/>
    </row>
    <row r="19" spans="1:8" x14ac:dyDescent="0.25">
      <c r="A19" s="113" t="s">
        <v>522</v>
      </c>
      <c r="B19" s="20" t="str">
        <f>VLOOKUP(A19,'[1]SQL DATA'!$B:$J,3,FALSE)</f>
        <v>P&amp;D - Cont. - Land Development</v>
      </c>
      <c r="C19" s="83">
        <f>VLOOKUP(A19,'[1]SQL DATA'!$B:$K,10,FALSE)</f>
        <v>5757.38</v>
      </c>
      <c r="D19" s="83">
        <f>VLOOKUP(A19,'[1]SQL DATA'!$B:$J,9,FALSE)</f>
        <v>4637.17</v>
      </c>
      <c r="E19" s="85">
        <f>VLOOKUP(A19,'[1]SQL DATA'!$B:$J,7,FALSE)</f>
        <v>0</v>
      </c>
      <c r="F19" s="84">
        <f>VLOOKUP(A19,'[1]SQL DATA'!$B:$J,6,FALSE)</f>
        <v>5682.05</v>
      </c>
      <c r="G19" s="83">
        <v>3650</v>
      </c>
      <c r="H19" s="83">
        <v>4000</v>
      </c>
    </row>
    <row r="20" spans="1:8" x14ac:dyDescent="0.25">
      <c r="A20" s="232"/>
      <c r="B20" s="20"/>
      <c r="C20" s="235">
        <f>SUM(C19)</f>
        <v>5757.38</v>
      </c>
      <c r="D20" s="235">
        <f>SUM(D19)</f>
        <v>4637.17</v>
      </c>
      <c r="E20" s="236">
        <f>SUM(E19)</f>
        <v>0</v>
      </c>
      <c r="F20" s="237">
        <f>SUM(F19)</f>
        <v>5682.05</v>
      </c>
      <c r="G20" s="235">
        <f t="shared" ref="G20:H20" si="4">SUM(G19)</f>
        <v>3650</v>
      </c>
      <c r="H20" s="235">
        <f t="shared" si="4"/>
        <v>4000</v>
      </c>
    </row>
    <row r="21" spans="1:8" x14ac:dyDescent="0.25">
      <c r="A21" s="238" t="s">
        <v>500</v>
      </c>
      <c r="B21" s="73"/>
      <c r="C21" s="73"/>
      <c r="D21" s="73"/>
      <c r="E21" s="50"/>
      <c r="F21" s="49"/>
      <c r="G21" s="73"/>
      <c r="H21" s="73"/>
    </row>
    <row r="22" spans="1:8" x14ac:dyDescent="0.25">
      <c r="A22" s="239" t="s">
        <v>523</v>
      </c>
      <c r="B22" s="240" t="str">
        <f>VLOOKUP(A22,'[1]SQL DATA'!$B:$J,3,FALSE)</f>
        <v>Transfer to Reserves - P&amp;D</v>
      </c>
      <c r="C22" s="240">
        <f>VLOOKUP(A22,'[1]SQL DATA'!$B:$K,10,FALSE)</f>
        <v>0</v>
      </c>
      <c r="D22" s="241">
        <f>VLOOKUP(A22,'[1]SQL DATA'!$B:$J,9,FALSE)</f>
        <v>48660</v>
      </c>
      <c r="E22" s="241">
        <f>VLOOKUP(A22,'[1]SQL DATA'!$B:$J,7,FALSE)</f>
        <v>95000</v>
      </c>
      <c r="F22" s="241">
        <f>VLOOKUP(A22,'[1]SQL DATA'!$B:$J,6,FALSE)</f>
        <v>0</v>
      </c>
      <c r="G22" s="240">
        <f>68230+95000</f>
        <v>163230</v>
      </c>
      <c r="H22" s="240">
        <f>75000+50000+105680-75000-50000</f>
        <v>105680</v>
      </c>
    </row>
    <row r="23" spans="1:8" x14ac:dyDescent="0.25">
      <c r="A23" s="232" t="s">
        <v>524</v>
      </c>
      <c r="B23" s="20"/>
      <c r="C23" s="59">
        <f t="shared" ref="C23:H23" si="5">SUM(C22:C22)</f>
        <v>0</v>
      </c>
      <c r="D23" s="59">
        <f t="shared" si="5"/>
        <v>48660</v>
      </c>
      <c r="E23" s="48">
        <f t="shared" si="5"/>
        <v>95000</v>
      </c>
      <c r="F23" s="47">
        <f t="shared" si="5"/>
        <v>0</v>
      </c>
      <c r="G23" s="59">
        <f t="shared" si="5"/>
        <v>163230</v>
      </c>
      <c r="H23" s="59">
        <f t="shared" si="5"/>
        <v>105680</v>
      </c>
    </row>
    <row r="24" spans="1:8" x14ac:dyDescent="0.25">
      <c r="A24" s="232"/>
      <c r="B24" s="20"/>
      <c r="C24" s="20"/>
      <c r="D24" s="20"/>
      <c r="E24" s="16"/>
      <c r="F24" s="15"/>
      <c r="G24" s="20"/>
      <c r="H24" s="20"/>
    </row>
    <row r="25" spans="1:8" x14ac:dyDescent="0.25">
      <c r="A25" s="75" t="s">
        <v>21</v>
      </c>
      <c r="B25" s="87"/>
      <c r="C25" s="30">
        <f t="shared" ref="C25:H25" si="6">C16+C20+C23</f>
        <v>18594.37</v>
      </c>
      <c r="D25" s="30">
        <f t="shared" si="6"/>
        <v>70290.12</v>
      </c>
      <c r="E25" s="19">
        <f t="shared" si="6"/>
        <v>94963.199999999997</v>
      </c>
      <c r="F25" s="18">
        <f t="shared" si="6"/>
        <v>17466.61</v>
      </c>
      <c r="G25" s="30">
        <f t="shared" si="6"/>
        <v>188180</v>
      </c>
      <c r="H25" s="30">
        <f t="shared" si="6"/>
        <v>194210</v>
      </c>
    </row>
    <row r="26" spans="1:8" x14ac:dyDescent="0.25">
      <c r="A26" s="75" t="s">
        <v>8</v>
      </c>
      <c r="B26" s="73"/>
      <c r="C26" s="20"/>
      <c r="D26" s="20"/>
      <c r="E26" s="16"/>
      <c r="F26" s="15"/>
      <c r="G26" s="20"/>
      <c r="H26" s="20"/>
    </row>
    <row r="27" spans="1:8" ht="15.75" thickBot="1" x14ac:dyDescent="0.3">
      <c r="A27" s="75" t="s">
        <v>22</v>
      </c>
      <c r="B27" s="87"/>
      <c r="C27" s="69">
        <f>(C10)-C25</f>
        <v>-11952.029999999999</v>
      </c>
      <c r="D27" s="69">
        <f>(D10)-D25</f>
        <v>-50136.469999999994</v>
      </c>
      <c r="E27" s="70">
        <f t="shared" ref="E27:H27" si="7">(E10)-E25</f>
        <v>-72185.959999999992</v>
      </c>
      <c r="F27" s="69">
        <f t="shared" si="7"/>
        <v>-17466.61</v>
      </c>
      <c r="G27" s="69">
        <f t="shared" si="7"/>
        <v>-119950</v>
      </c>
      <c r="H27" s="69">
        <f t="shared" si="7"/>
        <v>-20300</v>
      </c>
    </row>
    <row r="28" spans="1:8" ht="15.75" thickTop="1" x14ac:dyDescent="0.25">
      <c r="A28" t="s">
        <v>8</v>
      </c>
    </row>
    <row r="29" spans="1:8" x14ac:dyDescent="0.25">
      <c r="A29" t="s">
        <v>8</v>
      </c>
      <c r="B29" t="s">
        <v>525</v>
      </c>
    </row>
    <row r="30" spans="1:8" x14ac:dyDescent="0.25">
      <c r="A30" t="s">
        <v>8</v>
      </c>
      <c r="B30" t="s">
        <v>526</v>
      </c>
    </row>
    <row r="32" spans="1:8" x14ac:dyDescent="0.25">
      <c r="A32" t="s">
        <v>8</v>
      </c>
    </row>
    <row r="34" spans="1:1" x14ac:dyDescent="0.25">
      <c r="A34" t="s">
        <v>8</v>
      </c>
    </row>
    <row r="35" spans="1:1" x14ac:dyDescent="0.25">
      <c r="A35" t="s">
        <v>8</v>
      </c>
    </row>
  </sheetData>
  <pageMargins left="0.74803149606299213" right="0.74803149606299213" top="0.57870370370370372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Land Development
</oddHeader>
    <oddFooter>&amp;L&amp;P of &amp;N &amp;C&amp;R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31</vt:i4>
      </vt:variant>
    </vt:vector>
  </HeadingPairs>
  <TitlesOfParts>
    <vt:vector size="31" baseType="lpstr">
      <vt:lpstr>SUMMARY-F</vt:lpstr>
      <vt:lpstr>GG -Admin</vt:lpstr>
      <vt:lpstr>Council</vt:lpstr>
      <vt:lpstr>Fire Dept</vt:lpstr>
      <vt:lpstr>Building Inspection</vt:lpstr>
      <vt:lpstr>Bylaw Enforcement</vt:lpstr>
      <vt:lpstr>Protective Services</vt:lpstr>
      <vt:lpstr>Recreation</vt:lpstr>
      <vt:lpstr>Rec Director</vt:lpstr>
      <vt:lpstr>Rec Centre</vt:lpstr>
      <vt:lpstr>Pool</vt:lpstr>
      <vt:lpstr>Parks, Campground, SG, etc</vt:lpstr>
      <vt:lpstr>Playground Program</vt:lpstr>
      <vt:lpstr>Culture</vt:lpstr>
      <vt:lpstr>Community Hall</vt:lpstr>
      <vt:lpstr>Theatre</vt:lpstr>
      <vt:lpstr>Museum</vt:lpstr>
      <vt:lpstr>Other Rec Services</vt:lpstr>
      <vt:lpstr>Cemetery</vt:lpstr>
      <vt:lpstr>Recycle &amp; Garbage</vt:lpstr>
      <vt:lpstr>PW Summary</vt:lpstr>
      <vt:lpstr>PW Admin</vt:lpstr>
      <vt:lpstr>Shop &amp; Yard Maint</vt:lpstr>
      <vt:lpstr>Street &amp; Storm Sewer</vt:lpstr>
      <vt:lpstr>Mowing</vt:lpstr>
      <vt:lpstr>Transportation</vt:lpstr>
      <vt:lpstr>Water</vt:lpstr>
      <vt:lpstr>Sewer</vt:lpstr>
      <vt:lpstr>Airport</vt:lpstr>
      <vt:lpstr>Ec Dev</vt:lpstr>
      <vt:lpstr>Land Dev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 Hoare</dc:creator>
  <cp:lastModifiedBy>Kelly Hoare</cp:lastModifiedBy>
  <dcterms:created xsi:type="dcterms:W3CDTF">2022-09-16T21:08:33Z</dcterms:created>
  <dcterms:modified xsi:type="dcterms:W3CDTF">2022-09-16T21:09:05Z</dcterms:modified>
</cp:coreProperties>
</file>